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4040" windowHeight="9435" activeTab="1"/>
  </bookViews>
  <sheets>
    <sheet name="первоначальный" sheetId="6" r:id="rId1"/>
    <sheet name="уточненный " sheetId="9" r:id="rId2"/>
    <sheet name="расчет зарплаты" sheetId="7" r:id="rId3"/>
  </sheets>
  <definedNames>
    <definedName name="_xlnm.Print_Titles" localSheetId="0">первоначальный!$4:$5</definedName>
    <definedName name="_xlnm.Print_Titles" localSheetId="1">'уточненный '!$4:$5</definedName>
    <definedName name="_xlnm.Print_Area" localSheetId="0">первоначальный!$A$1:$M$225</definedName>
    <definedName name="_xlnm.Print_Area" localSheetId="1">'уточненный '!$A$1:$M$225</definedName>
  </definedNames>
  <calcPr calcId="125725"/>
</workbook>
</file>

<file path=xl/calcChain.xml><?xml version="1.0" encoding="utf-8"?>
<calcChain xmlns="http://schemas.openxmlformats.org/spreadsheetml/2006/main">
  <c r="L166" i="9"/>
  <c r="L164" s="1"/>
  <c r="M217"/>
  <c r="L217"/>
  <c r="K217"/>
  <c r="J217"/>
  <c r="I217"/>
  <c r="H217"/>
  <c r="G217"/>
  <c r="F217"/>
  <c r="M216"/>
  <c r="L216"/>
  <c r="K216"/>
  <c r="J216"/>
  <c r="I216"/>
  <c r="H216"/>
  <c r="G216"/>
  <c r="F216"/>
  <c r="M215"/>
  <c r="L215"/>
  <c r="K215"/>
  <c r="J215"/>
  <c r="I215"/>
  <c r="H215"/>
  <c r="G215"/>
  <c r="F215"/>
  <c r="M208"/>
  <c r="L208"/>
  <c r="K208"/>
  <c r="J208"/>
  <c r="I208"/>
  <c r="H208"/>
  <c r="G208"/>
  <c r="F208"/>
  <c r="M202"/>
  <c r="L202"/>
  <c r="K202"/>
  <c r="J202"/>
  <c r="I202"/>
  <c r="H202"/>
  <c r="G202"/>
  <c r="F202"/>
  <c r="M201"/>
  <c r="L201"/>
  <c r="K201"/>
  <c r="J201"/>
  <c r="I201"/>
  <c r="H201"/>
  <c r="G201"/>
  <c r="F201"/>
  <c r="M196"/>
  <c r="L196"/>
  <c r="K196"/>
  <c r="J196"/>
  <c r="I196"/>
  <c r="H196"/>
  <c r="F196"/>
  <c r="M191"/>
  <c r="M179" s="1"/>
  <c r="L191"/>
  <c r="L179" s="1"/>
  <c r="K191"/>
  <c r="K179" s="1"/>
  <c r="J191"/>
  <c r="I191"/>
  <c r="I179" s="1"/>
  <c r="H191"/>
  <c r="F191"/>
  <c r="M186"/>
  <c r="L186"/>
  <c r="L98" s="1"/>
  <c r="K186"/>
  <c r="J186"/>
  <c r="I186"/>
  <c r="H186"/>
  <c r="F186"/>
  <c r="G182"/>
  <c r="G180" s="1"/>
  <c r="G179" s="1"/>
  <c r="M180"/>
  <c r="L180"/>
  <c r="K180"/>
  <c r="J180"/>
  <c r="I180"/>
  <c r="H180"/>
  <c r="F180"/>
  <c r="J179"/>
  <c r="H179"/>
  <c r="F179"/>
  <c r="G178"/>
  <c r="K166"/>
  <c r="K164" s="1"/>
  <c r="M164"/>
  <c r="J164"/>
  <c r="I164"/>
  <c r="H164"/>
  <c r="G164"/>
  <c r="F164"/>
  <c r="M160"/>
  <c r="L160"/>
  <c r="K160"/>
  <c r="J160"/>
  <c r="I160"/>
  <c r="H160"/>
  <c r="G160"/>
  <c r="F160"/>
  <c r="G159"/>
  <c r="G157"/>
  <c r="G152" s="1"/>
  <c r="G151" s="1"/>
  <c r="M154"/>
  <c r="M152"/>
  <c r="L152"/>
  <c r="K152"/>
  <c r="J152"/>
  <c r="I152"/>
  <c r="H152"/>
  <c r="F152"/>
  <c r="M151"/>
  <c r="L151"/>
  <c r="K151"/>
  <c r="J151"/>
  <c r="I151"/>
  <c r="H151"/>
  <c r="F151"/>
  <c r="G150"/>
  <c r="M145"/>
  <c r="L145"/>
  <c r="K145"/>
  <c r="J145"/>
  <c r="I145"/>
  <c r="H145"/>
  <c r="G145"/>
  <c r="F145"/>
  <c r="M142"/>
  <c r="L142"/>
  <c r="K142"/>
  <c r="J142"/>
  <c r="I142"/>
  <c r="H142"/>
  <c r="G142"/>
  <c r="F142"/>
  <c r="M137"/>
  <c r="L137"/>
  <c r="K137"/>
  <c r="J137"/>
  <c r="I137"/>
  <c r="H137"/>
  <c r="F137"/>
  <c r="M133"/>
  <c r="L133"/>
  <c r="K133"/>
  <c r="J133"/>
  <c r="I133"/>
  <c r="H133"/>
  <c r="F133"/>
  <c r="M127"/>
  <c r="L127"/>
  <c r="K127"/>
  <c r="J127"/>
  <c r="I127"/>
  <c r="H127"/>
  <c r="G127"/>
  <c r="F127"/>
  <c r="M126"/>
  <c r="L126"/>
  <c r="K126"/>
  <c r="J126"/>
  <c r="I126"/>
  <c r="H126"/>
  <c r="G126"/>
  <c r="F126"/>
  <c r="M122"/>
  <c r="L122"/>
  <c r="K122"/>
  <c r="J122"/>
  <c r="I122"/>
  <c r="H122"/>
  <c r="G122"/>
  <c r="F122"/>
  <c r="M116"/>
  <c r="L116"/>
  <c r="K116"/>
  <c r="J116"/>
  <c r="I116"/>
  <c r="H116"/>
  <c r="G116"/>
  <c r="G109" s="1"/>
  <c r="F116"/>
  <c r="M110"/>
  <c r="M109" s="1"/>
  <c r="L110"/>
  <c r="K110"/>
  <c r="K109" s="1"/>
  <c r="J110"/>
  <c r="I110"/>
  <c r="I109" s="1"/>
  <c r="H110"/>
  <c r="F110"/>
  <c r="L109"/>
  <c r="J109"/>
  <c r="H109"/>
  <c r="F109"/>
  <c r="F108" s="1"/>
  <c r="J108"/>
  <c r="H108"/>
  <c r="M102"/>
  <c r="L102"/>
  <c r="K102"/>
  <c r="J102"/>
  <c r="I102"/>
  <c r="H102"/>
  <c r="G102"/>
  <c r="F102"/>
  <c r="M99"/>
  <c r="L99"/>
  <c r="K99"/>
  <c r="J99"/>
  <c r="I99"/>
  <c r="H99"/>
  <c r="G99"/>
  <c r="F99"/>
  <c r="M98"/>
  <c r="K98"/>
  <c r="J98"/>
  <c r="I98"/>
  <c r="H98"/>
  <c r="G98"/>
  <c r="F98"/>
  <c r="M96"/>
  <c r="L96"/>
  <c r="K96"/>
  <c r="J96"/>
  <c r="I96"/>
  <c r="H96"/>
  <c r="G96"/>
  <c r="F96"/>
  <c r="M92"/>
  <c r="L92"/>
  <c r="K92"/>
  <c r="J92"/>
  <c r="I92"/>
  <c r="H92"/>
  <c r="G92"/>
  <c r="F92"/>
  <c r="M87"/>
  <c r="L87"/>
  <c r="K87"/>
  <c r="J87"/>
  <c r="I87"/>
  <c r="H87"/>
  <c r="G87"/>
  <c r="F87"/>
  <c r="M84"/>
  <c r="L84"/>
  <c r="K84"/>
  <c r="J84"/>
  <c r="I84"/>
  <c r="H84"/>
  <c r="F84"/>
  <c r="M79"/>
  <c r="L79"/>
  <c r="K79"/>
  <c r="J79"/>
  <c r="I79"/>
  <c r="H79"/>
  <c r="F79"/>
  <c r="M76"/>
  <c r="L76"/>
  <c r="K76"/>
  <c r="J76"/>
  <c r="I76"/>
  <c r="H76"/>
  <c r="F76"/>
  <c r="M73"/>
  <c r="L73"/>
  <c r="K73"/>
  <c r="J73"/>
  <c r="I73"/>
  <c r="H73"/>
  <c r="G73"/>
  <c r="F73"/>
  <c r="K72"/>
  <c r="K71"/>
  <c r="M65"/>
  <c r="L65"/>
  <c r="K65"/>
  <c r="J65"/>
  <c r="I65"/>
  <c r="H65"/>
  <c r="G65"/>
  <c r="F65"/>
  <c r="G64"/>
  <c r="G60" s="1"/>
  <c r="M60"/>
  <c r="L60"/>
  <c r="K60"/>
  <c r="J60"/>
  <c r="I60"/>
  <c r="H60"/>
  <c r="F60"/>
  <c r="M57"/>
  <c r="L57"/>
  <c r="G57"/>
  <c r="F57"/>
  <c r="G56"/>
  <c r="G58" s="1"/>
  <c r="G55" s="1"/>
  <c r="F56"/>
  <c r="M55"/>
  <c r="L55"/>
  <c r="K55"/>
  <c r="J55"/>
  <c r="I55"/>
  <c r="H55"/>
  <c r="F55"/>
  <c r="M53"/>
  <c r="L53"/>
  <c r="L41" s="1"/>
  <c r="J53"/>
  <c r="I53"/>
  <c r="H53"/>
  <c r="G53"/>
  <c r="F53"/>
  <c r="M52"/>
  <c r="G50"/>
  <c r="G49"/>
  <c r="H45"/>
  <c r="M43"/>
  <c r="L43"/>
  <c r="K43"/>
  <c r="J43"/>
  <c r="I43"/>
  <c r="H43"/>
  <c r="G43"/>
  <c r="G54" s="1"/>
  <c r="G41" s="1"/>
  <c r="F43"/>
  <c r="M41"/>
  <c r="K41"/>
  <c r="J41"/>
  <c r="I41"/>
  <c r="H41"/>
  <c r="F41"/>
  <c r="M39"/>
  <c r="L39"/>
  <c r="K39"/>
  <c r="J39"/>
  <c r="I39"/>
  <c r="H39"/>
  <c r="G39"/>
  <c r="G36"/>
  <c r="G40" s="1"/>
  <c r="M34"/>
  <c r="L34"/>
  <c r="K34"/>
  <c r="J34"/>
  <c r="J27" s="1"/>
  <c r="J19" s="1"/>
  <c r="I34"/>
  <c r="H34"/>
  <c r="H27" s="1"/>
  <c r="H19" s="1"/>
  <c r="F34"/>
  <c r="F27" s="1"/>
  <c r="F19" s="1"/>
  <c r="G33"/>
  <c r="M30"/>
  <c r="L30"/>
  <c r="K30"/>
  <c r="J30"/>
  <c r="I30"/>
  <c r="H30"/>
  <c r="G30"/>
  <c r="F30"/>
  <c r="M27"/>
  <c r="K27"/>
  <c r="I27"/>
  <c r="M24"/>
  <c r="L24"/>
  <c r="K24"/>
  <c r="J24"/>
  <c r="I24"/>
  <c r="H24"/>
  <c r="G24"/>
  <c r="F24"/>
  <c r="M20"/>
  <c r="M19" s="1"/>
  <c r="L20"/>
  <c r="K20"/>
  <c r="K19" s="1"/>
  <c r="J20"/>
  <c r="I20"/>
  <c r="I19" s="1"/>
  <c r="H20"/>
  <c r="F20"/>
  <c r="L12"/>
  <c r="J12"/>
  <c r="H12"/>
  <c r="F12"/>
  <c r="M11"/>
  <c r="L11"/>
  <c r="K11"/>
  <c r="J11"/>
  <c r="I11"/>
  <c r="H11"/>
  <c r="G11"/>
  <c r="F11"/>
  <c r="M10"/>
  <c r="L10"/>
  <c r="K10"/>
  <c r="J10"/>
  <c r="I10"/>
  <c r="H10"/>
  <c r="G10"/>
  <c r="F10"/>
  <c r="M9"/>
  <c r="M14" s="1"/>
  <c r="L9"/>
  <c r="L14" s="1"/>
  <c r="K9"/>
  <c r="K14" s="1"/>
  <c r="J9"/>
  <c r="J14" s="1"/>
  <c r="I9"/>
  <c r="I14" s="1"/>
  <c r="H9"/>
  <c r="H14" s="1"/>
  <c r="G9"/>
  <c r="G14" s="1"/>
  <c r="F9"/>
  <c r="F14" s="1"/>
  <c r="J8"/>
  <c r="H8"/>
  <c r="F8"/>
  <c r="M154" i="6"/>
  <c r="L154"/>
  <c r="L8" i="9" l="1"/>
  <c r="L108"/>
  <c r="L15" s="1"/>
  <c r="H18"/>
  <c r="H15"/>
  <c r="H6" s="1"/>
  <c r="I108"/>
  <c r="I12"/>
  <c r="I8" s="1"/>
  <c r="I6" s="1"/>
  <c r="M108"/>
  <c r="M12"/>
  <c r="M8" s="1"/>
  <c r="F15"/>
  <c r="F6" s="1"/>
  <c r="F18"/>
  <c r="F7" s="1"/>
  <c r="M7"/>
  <c r="I18"/>
  <c r="I7" s="1"/>
  <c r="I15"/>
  <c r="M18"/>
  <c r="M15"/>
  <c r="J18"/>
  <c r="J7" s="1"/>
  <c r="J15"/>
  <c r="J6" s="1"/>
  <c r="K108"/>
  <c r="K15" s="1"/>
  <c r="K12"/>
  <c r="K8" s="1"/>
  <c r="G108"/>
  <c r="G12"/>
  <c r="G8" s="1"/>
  <c r="L27"/>
  <c r="L19" s="1"/>
  <c r="H7"/>
  <c r="G34"/>
  <c r="G27" s="1"/>
  <c r="G19" s="1"/>
  <c r="M57" i="6"/>
  <c r="L57"/>
  <c r="L18" i="9" l="1"/>
  <c r="L7" s="1"/>
  <c r="G18"/>
  <c r="G7" s="1"/>
  <c r="G15"/>
  <c r="G6" s="1"/>
  <c r="K18"/>
  <c r="K7" s="1"/>
  <c r="M16"/>
  <c r="M17" s="1"/>
  <c r="K6"/>
  <c r="M6"/>
  <c r="M52" i="6"/>
  <c r="M53"/>
  <c r="L53"/>
  <c r="K166"/>
  <c r="K164" s="1"/>
  <c r="M152"/>
  <c r="M151" s="1"/>
  <c r="L152"/>
  <c r="L151" s="1"/>
  <c r="K72"/>
  <c r="K71"/>
  <c r="M217"/>
  <c r="M216" s="1"/>
  <c r="L217"/>
  <c r="L216" s="1"/>
  <c r="L215" s="1"/>
  <c r="K217"/>
  <c r="K216" s="1"/>
  <c r="K11" s="1"/>
  <c r="M208"/>
  <c r="L208"/>
  <c r="K208"/>
  <c r="K201" s="1"/>
  <c r="M202"/>
  <c r="L202"/>
  <c r="L201" s="1"/>
  <c r="K202"/>
  <c r="M196"/>
  <c r="L196"/>
  <c r="K196"/>
  <c r="M191"/>
  <c r="L191"/>
  <c r="K191"/>
  <c r="M186"/>
  <c r="L186"/>
  <c r="K186"/>
  <c r="M180"/>
  <c r="L180"/>
  <c r="L179" s="1"/>
  <c r="K180"/>
  <c r="M164"/>
  <c r="L164"/>
  <c r="M160"/>
  <c r="L160"/>
  <c r="K160"/>
  <c r="K152"/>
  <c r="M145"/>
  <c r="L145"/>
  <c r="K145"/>
  <c r="M142"/>
  <c r="L142"/>
  <c r="K142"/>
  <c r="M137"/>
  <c r="L137"/>
  <c r="K137"/>
  <c r="M133"/>
  <c r="L133"/>
  <c r="K133"/>
  <c r="M127"/>
  <c r="M126" s="1"/>
  <c r="L127"/>
  <c r="K127"/>
  <c r="K126" s="1"/>
  <c r="L126"/>
  <c r="M122"/>
  <c r="L122"/>
  <c r="K122"/>
  <c r="M116"/>
  <c r="L116"/>
  <c r="K116"/>
  <c r="M110"/>
  <c r="M109" s="1"/>
  <c r="L110"/>
  <c r="K110"/>
  <c r="M102"/>
  <c r="L102"/>
  <c r="K102"/>
  <c r="M99"/>
  <c r="L99"/>
  <c r="L98" s="1"/>
  <c r="K99"/>
  <c r="M96"/>
  <c r="L96"/>
  <c r="K96"/>
  <c r="M92"/>
  <c r="L92"/>
  <c r="K92"/>
  <c r="M87"/>
  <c r="L87"/>
  <c r="K87"/>
  <c r="M84"/>
  <c r="L84"/>
  <c r="K84"/>
  <c r="M79"/>
  <c r="L79"/>
  <c r="K79"/>
  <c r="M76"/>
  <c r="L76"/>
  <c r="K76"/>
  <c r="M73"/>
  <c r="L73"/>
  <c r="K73"/>
  <c r="M65"/>
  <c r="L65"/>
  <c r="M60"/>
  <c r="L60"/>
  <c r="K60"/>
  <c r="M55"/>
  <c r="L55"/>
  <c r="K55"/>
  <c r="M43"/>
  <c r="L43"/>
  <c r="K43"/>
  <c r="K41" s="1"/>
  <c r="M39"/>
  <c r="L39"/>
  <c r="L34" s="1"/>
  <c r="K39"/>
  <c r="K34" s="1"/>
  <c r="M34"/>
  <c r="M30"/>
  <c r="L30"/>
  <c r="K30"/>
  <c r="M24"/>
  <c r="L24"/>
  <c r="K24"/>
  <c r="M20"/>
  <c r="L20"/>
  <c r="K20"/>
  <c r="M10"/>
  <c r="L10"/>
  <c r="K10"/>
  <c r="M9"/>
  <c r="L9"/>
  <c r="L14" s="1"/>
  <c r="K9"/>
  <c r="K14" s="1"/>
  <c r="H10"/>
  <c r="H9"/>
  <c r="L6" i="9" l="1"/>
  <c r="L16"/>
  <c r="L17" s="1"/>
  <c r="K179" i="6"/>
  <c r="M201"/>
  <c r="K215"/>
  <c r="M98"/>
  <c r="L109"/>
  <c r="M179"/>
  <c r="L41"/>
  <c r="K98"/>
  <c r="M41"/>
  <c r="M27" s="1"/>
  <c r="M19" s="1"/>
  <c r="L27"/>
  <c r="L19" s="1"/>
  <c r="K151"/>
  <c r="K108" s="1"/>
  <c r="K109"/>
  <c r="K12" s="1"/>
  <c r="K8" s="1"/>
  <c r="M108"/>
  <c r="K65"/>
  <c r="K27"/>
  <c r="L12"/>
  <c r="L108"/>
  <c r="L15" s="1"/>
  <c r="M11"/>
  <c r="M215"/>
  <c r="L11"/>
  <c r="M12"/>
  <c r="M8" s="1"/>
  <c r="M14"/>
  <c r="J39"/>
  <c r="I39"/>
  <c r="H39"/>
  <c r="M15" l="1"/>
  <c r="M16" s="1"/>
  <c r="L16"/>
  <c r="L17" s="1"/>
  <c r="M18"/>
  <c r="M7" s="1"/>
  <c r="L18"/>
  <c r="L7" s="1"/>
  <c r="K19"/>
  <c r="K18" s="1"/>
  <c r="K7" s="1"/>
  <c r="L8"/>
  <c r="H45"/>
  <c r="J53"/>
  <c r="I53"/>
  <c r="H53"/>
  <c r="J43"/>
  <c r="I43"/>
  <c r="H43"/>
  <c r="J9"/>
  <c r="I9"/>
  <c r="M6" l="1"/>
  <c r="L6"/>
  <c r="M17"/>
  <c r="K15"/>
  <c r="K6" s="1"/>
  <c r="G9"/>
  <c r="G182"/>
  <c r="G208"/>
  <c r="G178"/>
  <c r="G159"/>
  <c r="G157"/>
  <c r="G150"/>
  <c r="G217"/>
  <c r="G96"/>
  <c r="G64"/>
  <c r="G56"/>
  <c r="G57"/>
  <c r="G53"/>
  <c r="G50"/>
  <c r="G49"/>
  <c r="G43"/>
  <c r="G39"/>
  <c r="G36"/>
  <c r="G40" s="1"/>
  <c r="G33"/>
  <c r="G30" s="1"/>
  <c r="G58" l="1"/>
  <c r="G54"/>
  <c r="J102"/>
  <c r="I102"/>
  <c r="H102"/>
  <c r="H12" i="7" l="1"/>
  <c r="E12"/>
  <c r="I12" s="1"/>
  <c r="J12" s="1"/>
  <c r="H11"/>
  <c r="E11"/>
  <c r="H10"/>
  <c r="E10"/>
  <c r="H8"/>
  <c r="E8"/>
  <c r="I11" l="1"/>
  <c r="J11" s="1"/>
  <c r="I10"/>
  <c r="I8"/>
  <c r="J8" s="1"/>
  <c r="I13" l="1"/>
  <c r="J13" s="1"/>
  <c r="J10"/>
  <c r="I14" l="1"/>
  <c r="J14" s="1"/>
  <c r="J10" i="6"/>
  <c r="I10"/>
  <c r="G10"/>
  <c r="F10"/>
  <c r="F217" l="1"/>
  <c r="F216" s="1"/>
  <c r="F208"/>
  <c r="F202"/>
  <c r="F196"/>
  <c r="F191"/>
  <c r="F186"/>
  <c r="F180"/>
  <c r="F164"/>
  <c r="F160"/>
  <c r="F152"/>
  <c r="F151" s="1"/>
  <c r="F145"/>
  <c r="F142"/>
  <c r="F137"/>
  <c r="F133"/>
  <c r="F127"/>
  <c r="F126" s="1"/>
  <c r="F122"/>
  <c r="F116"/>
  <c r="F110"/>
  <c r="F102"/>
  <c r="F99"/>
  <c r="F96"/>
  <c r="F92"/>
  <c r="F87"/>
  <c r="F84"/>
  <c r="F79"/>
  <c r="F76"/>
  <c r="F73"/>
  <c r="F65"/>
  <c r="F60"/>
  <c r="F57"/>
  <c r="F56"/>
  <c r="F53"/>
  <c r="F43"/>
  <c r="F34"/>
  <c r="F30"/>
  <c r="F24"/>
  <c r="F20"/>
  <c r="F9"/>
  <c r="J87"/>
  <c r="I87"/>
  <c r="H87"/>
  <c r="G87"/>
  <c r="F179" l="1"/>
  <c r="F98"/>
  <c r="F55"/>
  <c r="F41"/>
  <c r="F201"/>
  <c r="F109"/>
  <c r="F12" s="1"/>
  <c r="F215"/>
  <c r="F11"/>
  <c r="F14"/>
  <c r="F27" l="1"/>
  <c r="F19" s="1"/>
  <c r="F8"/>
  <c r="F108"/>
  <c r="J180"/>
  <c r="I180"/>
  <c r="H180"/>
  <c r="G180"/>
  <c r="G179" s="1"/>
  <c r="G202"/>
  <c r="G201" s="1"/>
  <c r="J164"/>
  <c r="I164"/>
  <c r="H164"/>
  <c r="J160"/>
  <c r="I160"/>
  <c r="H160"/>
  <c r="G160"/>
  <c r="G152"/>
  <c r="G151" s="1"/>
  <c r="G24"/>
  <c r="G142"/>
  <c r="G145"/>
  <c r="G122"/>
  <c r="J116"/>
  <c r="I116"/>
  <c r="H116"/>
  <c r="G116"/>
  <c r="G102"/>
  <c r="G99"/>
  <c r="G216"/>
  <c r="G127"/>
  <c r="G126" s="1"/>
  <c r="G92"/>
  <c r="G65"/>
  <c r="G73"/>
  <c r="J60"/>
  <c r="I60"/>
  <c r="H60"/>
  <c r="G60"/>
  <c r="J55"/>
  <c r="I55"/>
  <c r="H55"/>
  <c r="G55"/>
  <c r="J41"/>
  <c r="I41"/>
  <c r="H41"/>
  <c r="G34"/>
  <c r="G14"/>
  <c r="G98" l="1"/>
  <c r="F15"/>
  <c r="F6" s="1"/>
  <c r="F18"/>
  <c r="F7" s="1"/>
  <c r="G109"/>
  <c r="G12" s="1"/>
  <c r="G164"/>
  <c r="G41"/>
  <c r="G27" s="1"/>
  <c r="G19" s="1"/>
  <c r="G215"/>
  <c r="G11"/>
  <c r="G108" l="1"/>
  <c r="G18" s="1"/>
  <c r="G7" s="1"/>
  <c r="G8"/>
  <c r="G15" l="1"/>
  <c r="G6" s="1"/>
  <c r="J14"/>
  <c r="I14"/>
  <c r="H14"/>
  <c r="I191"/>
  <c r="H191"/>
  <c r="J191"/>
  <c r="J186"/>
  <c r="I186"/>
  <c r="H186"/>
  <c r="J142" l="1"/>
  <c r="I142"/>
  <c r="H142"/>
  <c r="J137"/>
  <c r="I137"/>
  <c r="H137"/>
  <c r="J217" l="1"/>
  <c r="I217"/>
  <c r="H217"/>
  <c r="J216" l="1"/>
  <c r="I216"/>
  <c r="H216"/>
  <c r="H11" s="1"/>
  <c r="J208"/>
  <c r="I208"/>
  <c r="H208"/>
  <c r="J202"/>
  <c r="I202"/>
  <c r="H202"/>
  <c r="J196"/>
  <c r="J179" s="1"/>
  <c r="I196"/>
  <c r="I179" s="1"/>
  <c r="H196"/>
  <c r="H179" s="1"/>
  <c r="J152"/>
  <c r="J151" s="1"/>
  <c r="I152"/>
  <c r="I151" s="1"/>
  <c r="H152"/>
  <c r="H151" s="1"/>
  <c r="J145"/>
  <c r="I145"/>
  <c r="H145"/>
  <c r="J133"/>
  <c r="I133"/>
  <c r="H133"/>
  <c r="J127"/>
  <c r="J126" s="1"/>
  <c r="I127"/>
  <c r="I126" s="1"/>
  <c r="H127"/>
  <c r="H126" s="1"/>
  <c r="J122"/>
  <c r="I122"/>
  <c r="H122"/>
  <c r="J110"/>
  <c r="I110"/>
  <c r="H110"/>
  <c r="J99"/>
  <c r="J98" s="1"/>
  <c r="I99"/>
  <c r="I98" s="1"/>
  <c r="H99"/>
  <c r="H98" s="1"/>
  <c r="J96"/>
  <c r="I96"/>
  <c r="H96"/>
  <c r="J92"/>
  <c r="I92"/>
  <c r="H92"/>
  <c r="J84"/>
  <c r="I84"/>
  <c r="H84"/>
  <c r="J79"/>
  <c r="I79"/>
  <c r="H79"/>
  <c r="H76"/>
  <c r="J76"/>
  <c r="I76"/>
  <c r="J73"/>
  <c r="I73"/>
  <c r="H73"/>
  <c r="J65"/>
  <c r="I65"/>
  <c r="H65"/>
  <c r="J34"/>
  <c r="I34"/>
  <c r="H34"/>
  <c r="H30"/>
  <c r="J30"/>
  <c r="I30"/>
  <c r="J24"/>
  <c r="I24"/>
  <c r="H24"/>
  <c r="J20"/>
  <c r="I20"/>
  <c r="H20"/>
  <c r="I201" l="1"/>
  <c r="J201"/>
  <c r="H201"/>
  <c r="I109"/>
  <c r="I12" s="1"/>
  <c r="H109"/>
  <c r="H12" s="1"/>
  <c r="J109"/>
  <c r="J12" s="1"/>
  <c r="H27"/>
  <c r="H19" s="1"/>
  <c r="I11"/>
  <c r="I215"/>
  <c r="J215"/>
  <c r="J11"/>
  <c r="J27"/>
  <c r="J19" s="1"/>
  <c r="I27"/>
  <c r="I19" s="1"/>
  <c r="H215"/>
  <c r="J108" l="1"/>
  <c r="J18" s="1"/>
  <c r="I108"/>
  <c r="I18" s="1"/>
  <c r="H108"/>
  <c r="H18" s="1"/>
  <c r="H7" s="1"/>
  <c r="I8"/>
  <c r="J8"/>
  <c r="H8"/>
  <c r="I7" l="1"/>
  <c r="J7"/>
  <c r="I15"/>
  <c r="I6" s="1"/>
  <c r="J15"/>
  <c r="J6" s="1"/>
  <c r="H15"/>
  <c r="H6" s="1"/>
</calcChain>
</file>

<file path=xl/sharedStrings.xml><?xml version="1.0" encoding="utf-8"?>
<sst xmlns="http://schemas.openxmlformats.org/spreadsheetml/2006/main" count="1177" uniqueCount="264">
  <si>
    <t>Единица измерения: руб.</t>
  </si>
  <si>
    <t>Наименование показателя</t>
  </si>
  <si>
    <t>РП</t>
  </si>
  <si>
    <t>Ц.ст.</t>
  </si>
  <si>
    <t>ВР</t>
  </si>
  <si>
    <t>Доп.кл.</t>
  </si>
  <si>
    <t>по расчетам поселений</t>
  </si>
  <si>
    <t>к утверждению</t>
  </si>
  <si>
    <t xml:space="preserve">Дефицит (профицит бюджета) </t>
  </si>
  <si>
    <t>Трансферты за счет средств бюджета МР</t>
  </si>
  <si>
    <t>Дотация на выравнивание уровня бюджетной обеспеченности</t>
  </si>
  <si>
    <t>Расходы бюджета -  всего</t>
  </si>
  <si>
    <t>0103</t>
  </si>
  <si>
    <t>000</t>
  </si>
  <si>
    <t>Компенсационные выплаты главе поселения</t>
  </si>
  <si>
    <t>123</t>
  </si>
  <si>
    <t>канцелярские товары д/сельской Думы</t>
  </si>
  <si>
    <t>0104</t>
  </si>
  <si>
    <t>121</t>
  </si>
  <si>
    <t>122</t>
  </si>
  <si>
    <t>242</t>
  </si>
  <si>
    <t>244</t>
  </si>
  <si>
    <t>приобретение марок, конвертов и пересылка почтовых отправлений</t>
  </si>
  <si>
    <t>затраты на приобретение канц.товаров</t>
  </si>
  <si>
    <t>852</t>
  </si>
  <si>
    <t>членские взносы в ассоциацию МО</t>
  </si>
  <si>
    <t>853</t>
  </si>
  <si>
    <t>0107</t>
  </si>
  <si>
    <t>0111</t>
  </si>
  <si>
    <t>870</t>
  </si>
  <si>
    <t>0113</t>
  </si>
  <si>
    <t>0409</t>
  </si>
  <si>
    <t>0412</t>
  </si>
  <si>
    <t>0501</t>
  </si>
  <si>
    <t>0502</t>
  </si>
  <si>
    <t>Прочие мероприятия в области коммунального хозяйства</t>
  </si>
  <si>
    <t>0503</t>
  </si>
  <si>
    <t>тех.присоединение к эл.сетям</t>
  </si>
  <si>
    <t>приобетение электротоваров для уличного освещения</t>
  </si>
  <si>
    <t>0801</t>
  </si>
  <si>
    <t>Расходы бюджета на передаваемые полномочия в бюджет муниципального района</t>
  </si>
  <si>
    <t>540</t>
  </si>
  <si>
    <t>0106</t>
  </si>
  <si>
    <t>1101</t>
  </si>
  <si>
    <t>Исполнение переданных полномочий за счет средств бюджета МР "Износковский район"</t>
  </si>
  <si>
    <t>11</t>
  </si>
  <si>
    <t xml:space="preserve">Расходы за счет субвенций </t>
  </si>
  <si>
    <t>Осуществление первичного воинского учета на территориях, где отсутствуют военные комиссариаты</t>
  </si>
  <si>
    <t>0203</t>
  </si>
  <si>
    <t>Заработная плата</t>
  </si>
  <si>
    <t>365</t>
  </si>
  <si>
    <t>Начисления на выплаты по оплате труда</t>
  </si>
  <si>
    <t>01</t>
  </si>
  <si>
    <t>129</t>
  </si>
  <si>
    <t>02 0 00 04110</t>
  </si>
  <si>
    <t>02 0 00 04120</t>
  </si>
  <si>
    <t>02 0 00 04130</t>
  </si>
  <si>
    <t>02 0 00 04210</t>
  </si>
  <si>
    <t>02 0 00 04140</t>
  </si>
  <si>
    <t>99 9 00 51180</t>
  </si>
  <si>
    <t xml:space="preserve">Код БК </t>
  </si>
  <si>
    <t>работы по уборке территориии СП (по договору)</t>
  </si>
  <si>
    <t>Прочие мероприятия в области благоустройства</t>
  </si>
  <si>
    <t>Мероприятия в области пожарной безопасности</t>
  </si>
  <si>
    <t>Оценка недвижимости, признание прав и регулирование отношений по государственной и муниципальной собственности</t>
  </si>
  <si>
    <t>Периодическая печать</t>
  </si>
  <si>
    <t>Мероприятия по поддержке и развитию малого предпринимательства</t>
  </si>
  <si>
    <t>Мероприятия в области профилактики правонарушений</t>
  </si>
  <si>
    <t>Закупка товаров, работ, услуг в сфере информационно-коммуникационных технологий</t>
  </si>
  <si>
    <t>Функционирование представительного органа власти</t>
  </si>
  <si>
    <t>Разработка прогноза социально-экономического развития территории поселения и формирование муниципального заказа</t>
  </si>
  <si>
    <t>Создание условий для организации досуга и обеспечения жителей поселения услугами организаций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</si>
  <si>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</si>
  <si>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 xml:space="preserve">Начисления на выплаты по оплате труда </t>
  </si>
  <si>
    <t>12</t>
  </si>
  <si>
    <t>расходы бюджета за счет собственных средств - всего</t>
  </si>
  <si>
    <t>Прочая закупка товаров, работ и услуг</t>
  </si>
  <si>
    <t>Дорожное хозяйство (за счет собственных средств)</t>
  </si>
  <si>
    <t>Внешний финансовый контроль (КСК)</t>
  </si>
  <si>
    <t>уплата госпошлины</t>
  </si>
  <si>
    <t>штрафы и пени по налогам</t>
  </si>
  <si>
    <t xml:space="preserve">ремонт уличного освещения </t>
  </si>
  <si>
    <t xml:space="preserve">Исполнитель: </t>
  </si>
  <si>
    <t>плата за негативное воздействие на окружающую среду</t>
  </si>
  <si>
    <t xml:space="preserve">Доходы бюджета всего </t>
  </si>
  <si>
    <t>субсидии (областные и федеральные)</t>
  </si>
  <si>
    <t xml:space="preserve">субвенции </t>
  </si>
  <si>
    <t>01 0 01 01130</t>
  </si>
  <si>
    <t xml:space="preserve">эцп </t>
  </si>
  <si>
    <t>01 0 01 01010</t>
  </si>
  <si>
    <t>01 0 01 01020</t>
  </si>
  <si>
    <t>Функционирование Главы Администрации сельского поселения</t>
  </si>
  <si>
    <t>01 0 01 01030</t>
  </si>
  <si>
    <t>Функционирование центрального аппарата администрации сельского поселения</t>
  </si>
  <si>
    <t>01 0 07 01300</t>
  </si>
  <si>
    <t>Обеспечение деятельности муниципальной избирательной комиссии</t>
  </si>
  <si>
    <t>01 0 04 01160</t>
  </si>
  <si>
    <t>01 0 03 01150</t>
  </si>
  <si>
    <t>01 0 02 01080</t>
  </si>
  <si>
    <t>01 0 02 01040</t>
  </si>
  <si>
    <t>01 0 02 01050</t>
  </si>
  <si>
    <t>01 0 02 01060</t>
  </si>
  <si>
    <t>01 0 02 01090</t>
  </si>
  <si>
    <t>01 0 02 01100</t>
  </si>
  <si>
    <t>01 0 05 01170</t>
  </si>
  <si>
    <t>01 0 06 01220</t>
  </si>
  <si>
    <t>06 0 00 01190</t>
  </si>
  <si>
    <t>01 0 08 01870</t>
  </si>
  <si>
    <t>05 0 01 02400</t>
  </si>
  <si>
    <r>
      <t xml:space="preserve">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жилыми помещениями, и по </t>
    </r>
    <r>
      <rPr>
        <b/>
        <sz val="10"/>
        <rFont val="Arial Cyr"/>
        <charset val="204"/>
      </rPr>
      <t>содержанию муниципального жилищного фонда</t>
    </r>
  </si>
  <si>
    <t>05 0 01 02500</t>
  </si>
  <si>
    <t>ВЦП</t>
  </si>
  <si>
    <r>
      <t xml:space="preserve">Формирование, утверждение, исполнение бюджета поселения и контроль за исполнением данного бюджета, в части передаваемых полномочий по </t>
    </r>
    <r>
      <rPr>
        <b/>
        <i/>
        <sz val="10"/>
        <color indexed="8"/>
        <rFont val="Arial Cyr"/>
        <charset val="204"/>
      </rPr>
      <t>составлению и организации исполнения бюджета</t>
    </r>
  </si>
  <si>
    <r>
      <t>Формирование, утверждение, исполнение бюджета поселения и контроль за исполнением данного бюджета,</t>
    </r>
    <r>
      <rPr>
        <b/>
        <i/>
        <sz val="10"/>
        <color indexed="8"/>
        <rFont val="Arial Cyr"/>
        <charset val="204"/>
      </rPr>
      <t xml:space="preserve"> в части ведения бухгалтерского учета и отчетности по администрации поселения</t>
    </r>
  </si>
  <si>
    <r>
      <t xml:space="preserve">Формирование, утверждение, исполнение бюджета поселения и контроль за исполнением данного бюджета, </t>
    </r>
    <r>
      <rPr>
        <b/>
        <i/>
        <sz val="10"/>
        <color indexed="8"/>
        <rFont val="Arial Cyr"/>
        <charset val="204"/>
      </rPr>
      <t>в части внутреннего финансового контроля</t>
    </r>
  </si>
  <si>
    <r>
      <t>Исполнение переданны полномочий муниципального района по содержанию на территории муниципального района межпоселенческих</t>
    </r>
    <r>
      <rPr>
        <b/>
        <sz val="10"/>
        <rFont val="Arial Cyr"/>
        <charset val="204"/>
      </rPr>
      <t xml:space="preserve"> мест захоронений</t>
    </r>
  </si>
  <si>
    <t>05 0 01 02600</t>
  </si>
  <si>
    <t>МП "ДОРОГИ"</t>
  </si>
  <si>
    <r>
      <t>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  </r>
    <r>
      <rPr>
        <b/>
        <i/>
        <sz val="10"/>
        <rFont val="Arial Cyr"/>
        <charset val="204"/>
      </rPr>
      <t xml:space="preserve"> в части межевания автомобильных дорог</t>
    </r>
  </si>
  <si>
    <r>
      <t>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  </r>
    <r>
      <rPr>
        <b/>
        <i/>
        <sz val="10"/>
        <rFont val="Arial Cyr"/>
        <charset val="204"/>
      </rPr>
      <t xml:space="preserve"> в части паспортизации автомобильных дорог</t>
    </r>
  </si>
  <si>
    <r>
      <t xml:space="preserve">Исполнение переданных полномочий муниципального района на осуществление дорожной деятельности в отношении автомобильных дорог местного значения </t>
    </r>
    <r>
      <rPr>
        <b/>
        <i/>
        <sz val="10"/>
        <rFont val="Arial Cyr"/>
        <charset val="204"/>
      </rPr>
      <t>в границах населенных пунктов поселения</t>
    </r>
    <r>
      <rPr>
        <i/>
        <sz val="10"/>
        <rFont val="Arial Cyr"/>
        <charset val="204"/>
      </rPr>
      <t xml:space="preserve"> </t>
    </r>
    <r>
      <rPr>
        <b/>
        <i/>
        <sz val="10"/>
        <rFont val="Arial Cyr"/>
        <charset val="204"/>
      </rPr>
      <t>в части содержания автомобильных дорог</t>
    </r>
  </si>
  <si>
    <r>
      <t>Исполнение переданных полномочий муниципального района на осуществление дорожной деятельности в отношении автомобильных дорог местного значения</t>
    </r>
    <r>
      <rPr>
        <b/>
        <i/>
        <sz val="10"/>
        <rFont val="Arial Cyr"/>
        <charset val="204"/>
      </rPr>
      <t xml:space="preserve"> вне границ населенных пунктов </t>
    </r>
    <r>
      <rPr>
        <i/>
        <sz val="10"/>
        <rFont val="Arial Cyr"/>
        <charset val="204"/>
      </rPr>
      <t xml:space="preserve">в границах муниципального района </t>
    </r>
    <r>
      <rPr>
        <b/>
        <i/>
        <sz val="10"/>
        <rFont val="Arial Cyr"/>
        <charset val="204"/>
      </rPr>
      <t>в части</t>
    </r>
    <r>
      <rPr>
        <i/>
        <sz val="10"/>
        <rFont val="Arial Cyr"/>
        <charset val="204"/>
      </rPr>
      <t xml:space="preserve"> </t>
    </r>
    <r>
      <rPr>
        <b/>
        <i/>
        <sz val="10"/>
        <rFont val="Arial Cyr"/>
        <charset val="204"/>
      </rPr>
      <t>содержания автомобильных дорог</t>
    </r>
  </si>
  <si>
    <r>
      <t>Исполнение переданных полномочий муниципального района на осуществление дорожной деятельности в отношении автомобильных дорог местного значения</t>
    </r>
    <r>
      <rPr>
        <b/>
        <i/>
        <sz val="10"/>
        <rFont val="Arial Cyr"/>
        <charset val="204"/>
      </rPr>
      <t xml:space="preserve"> в границах населенных пунктов поселения в части ремонта автомобильных дорог</t>
    </r>
  </si>
  <si>
    <r>
      <t xml:space="preserve">Исполнение переданны полномочий муниципального района по организации в границах поселения </t>
    </r>
    <r>
      <rPr>
        <b/>
        <sz val="10"/>
        <rFont val="Arial Cyr"/>
        <charset val="204"/>
      </rPr>
      <t>электро-, тепло-, газо- и водоснабжения населения</t>
    </r>
    <r>
      <rPr>
        <sz val="10"/>
        <rFont val="Arial Cyr"/>
        <charset val="204"/>
      </rPr>
      <t xml:space="preserve">, </t>
    </r>
    <r>
      <rPr>
        <b/>
        <sz val="10"/>
        <rFont val="Arial Cyr"/>
        <charset val="204"/>
      </rPr>
      <t>водоотведения, снабжения населения топливом</t>
    </r>
  </si>
  <si>
    <t>содержание дорог внутри поселения</t>
  </si>
  <si>
    <t>ремонт дорог внутри поселения</t>
  </si>
  <si>
    <t>МП "ЖКХ"</t>
  </si>
  <si>
    <t>05 0 02 01160</t>
  </si>
  <si>
    <t>05 0 02 02010</t>
  </si>
  <si>
    <r>
      <t>Мероприятия в области жилищного хозяйства</t>
    </r>
    <r>
      <rPr>
        <sz val="10"/>
        <color indexed="8"/>
        <rFont val="Arial CYR"/>
        <charset val="204"/>
      </rPr>
      <t xml:space="preserve"> (за счет собственных средств)</t>
    </r>
  </si>
  <si>
    <t>05 0 02 02020</t>
  </si>
  <si>
    <t>05 0 02 02240</t>
  </si>
  <si>
    <t>05 0 02 02250</t>
  </si>
  <si>
    <t>Организация уличного освещения</t>
  </si>
  <si>
    <t>Содержание и ремонт братских мест захоронений</t>
  </si>
  <si>
    <t>приобретение спецпродукции (цветы, венки, корзины)</t>
  </si>
  <si>
    <t xml:space="preserve">ликвидация стихийных свалок </t>
  </si>
  <si>
    <t>вырубка высокорослых и сухостойных насаждений</t>
  </si>
  <si>
    <t>благоустройство детских площадок</t>
  </si>
  <si>
    <t>05 0 02 02270</t>
  </si>
  <si>
    <t>05 0 02 02260</t>
  </si>
  <si>
    <t>МП "МАЛОЕ ПРЕДПРИНИМАТЕЛЬСТВО"</t>
  </si>
  <si>
    <t>0600000000</t>
  </si>
  <si>
    <t>0200000000</t>
  </si>
  <si>
    <t>0100000000</t>
  </si>
  <si>
    <t>0500000000</t>
  </si>
  <si>
    <t>Прочие мероприятия проводимые органами местного самоуправления</t>
  </si>
  <si>
    <t>01 0 09 01210</t>
  </si>
  <si>
    <t>НЕПРОГРАМНЫЕ РАСХОДЫ</t>
  </si>
  <si>
    <t>средства муниципального района</t>
  </si>
  <si>
    <t>Реализация проектов развития общественной инфраструктуры, основанных на местных инициативах (по Мин-ву финансов)</t>
  </si>
  <si>
    <t>обл</t>
  </si>
  <si>
    <t xml:space="preserve">Резервный фонд </t>
  </si>
  <si>
    <t>оказание материальной помощи</t>
  </si>
  <si>
    <t>стимулирование участия населения в деятельности общественных организаций (добровольные дружины)</t>
  </si>
  <si>
    <t>Глава администрации МО СП д.Алексеевка                                А.Н. Портнов</t>
  </si>
  <si>
    <t>страхование автомобиля (ОСАГО)</t>
  </si>
  <si>
    <t>Приобретение новогодних подарков</t>
  </si>
  <si>
    <t>приобретение подарочной продукции, цветов, поздравительных открыток, почетных грамот, благодарственных писем, подарков юбилярам проведение мероприятий (День пожилого человека)</t>
  </si>
  <si>
    <t>затраты на услуги связи (абонплата+переговоры+сотовая связь) ((260,4*12)+(2,20*200*12)+(3,9*160*12))</t>
  </si>
  <si>
    <t>РЕЗЕРВ подлежащий последующему перераспределению</t>
  </si>
  <si>
    <t>средства поселения (не менее 5 %)</t>
  </si>
  <si>
    <t>02 0 00 04150</t>
  </si>
  <si>
    <t>Расходы без условно утвержденных расходов</t>
  </si>
  <si>
    <t>в том числе: условно утвержденные расходы</t>
  </si>
  <si>
    <t>норматив</t>
  </si>
  <si>
    <t>итого за год</t>
  </si>
  <si>
    <t>муниципальные служащие</t>
  </si>
  <si>
    <t>хох.блок</t>
  </si>
  <si>
    <t>ИТОГО</t>
  </si>
  <si>
    <t>ВСЕГО</t>
  </si>
  <si>
    <t xml:space="preserve">Администрация </t>
  </si>
  <si>
    <t>Глава администрации</t>
  </si>
  <si>
    <t xml:space="preserve">Расчет зарплаты по аппарату по МО СП д.Алексеевка </t>
  </si>
  <si>
    <t>Начисления на оплату труда</t>
  </si>
  <si>
    <t>Реализация общественно-значимых проектов по благоустройству сельских территорий (Мин-во с/х)</t>
  </si>
  <si>
    <t>Стимулирование Главы администрации (за счет средств МР)</t>
  </si>
  <si>
    <t>01 0 01 00170</t>
  </si>
  <si>
    <t>05 0 04 L5760</t>
  </si>
  <si>
    <t>880</t>
  </si>
  <si>
    <t>247</t>
  </si>
  <si>
    <t>средства поселения 29 %</t>
  </si>
  <si>
    <t>средства населения 1%</t>
  </si>
  <si>
    <t>благоустройство  гражданских кладбищ</t>
  </si>
  <si>
    <t>приобретение электроэнергии (15795*9,05)</t>
  </si>
  <si>
    <t xml:space="preserve">областные средства </t>
  </si>
  <si>
    <t>средства ИП</t>
  </si>
  <si>
    <t>ЕВД при увольнении с муниципальной службы при уходе на пенсию (10  окладов * 130,2%)</t>
  </si>
  <si>
    <t>доплата к пенсии бывшим муниципальным служащим</t>
  </si>
  <si>
    <t>1001</t>
  </si>
  <si>
    <t>312</t>
  </si>
  <si>
    <t>ремонт бензокосилки</t>
  </si>
  <si>
    <t>2024 г.</t>
  </si>
  <si>
    <t>затраты на электроснабжение 1000кВт*8,23</t>
  </si>
  <si>
    <t>затраты на газоснабжение 4500м3*9,0</t>
  </si>
  <si>
    <r>
      <t>затраты за сопровождение программ и приобретение лицензий для програмного обеспечения (Технокад 14900 ТВИМ 13500 СБИС 2000 АИС 8800</t>
    </r>
    <r>
      <rPr>
        <i/>
        <sz val="10"/>
        <rFont val="Arial Cyr"/>
        <charset val="204"/>
      </rPr>
      <t>)</t>
    </r>
  </si>
  <si>
    <t>техническое обслуживание и ремонт автотранспорта</t>
  </si>
  <si>
    <t>Стимулирование работников органов местного самоуправления муниципальных образований Износковского района за достижение наилучших показателей социально-экономического развития муниципальных районов Калужской области</t>
  </si>
  <si>
    <t>01 0 01 01120</t>
  </si>
  <si>
    <t>360</t>
  </si>
  <si>
    <t>02 0 00 04160</t>
  </si>
  <si>
    <t>разработка и проверка смет на работы по ремонту уличного освещения</t>
  </si>
  <si>
    <t>приобретение материалов для работ по благоустройству</t>
  </si>
  <si>
    <t>Контроль и надзор за проведением работ по благоустройству</t>
  </si>
  <si>
    <t>разработка и проверка смет на работы по благоустройству</t>
  </si>
  <si>
    <t xml:space="preserve">средства населения не менее - 1 % - </t>
  </si>
  <si>
    <t>количество месяцев</t>
  </si>
  <si>
    <t>сумма</t>
  </si>
  <si>
    <t>эксперты</t>
  </si>
  <si>
    <t>% повышения с 01.10.24</t>
  </si>
  <si>
    <t xml:space="preserve">Глава администрации </t>
  </si>
  <si>
    <t>Мероприятия по ликвидации очагов распростанения борщевика Сосновского</t>
  </si>
  <si>
    <t>05 0 02 02210</t>
  </si>
  <si>
    <t>средства бюджета муниципального района</t>
  </si>
  <si>
    <t xml:space="preserve"> в том числе налоговые и неналоговые доходы  + от населения и ИП (развитие сельских территорий )</t>
  </si>
  <si>
    <t>благоустройство мест братских захоронений</t>
  </si>
  <si>
    <t>проведение топографо-геодезических, картографических и землеустроительных работ (разработка тех.планов и межевание земельных участков для многодетных семей)</t>
  </si>
  <si>
    <t>доходы бюджета за счет собственных средств</t>
  </si>
  <si>
    <t>в том числе по собственным средствам</t>
  </si>
  <si>
    <t>Первона-чально утвержден-ная роспись</t>
  </si>
  <si>
    <t>2025 г.</t>
  </si>
  <si>
    <t>свободный лимит</t>
  </si>
  <si>
    <t>мониторинг и обслуживание пожарной сигнализации в здании администрации МО СП 500*12 и мониторинг АПС</t>
  </si>
  <si>
    <t>0310</t>
  </si>
  <si>
    <t>противопожарная опашка и окашивание за счет средств МР</t>
  </si>
  <si>
    <t>противопожарная опашка и окашивание за счет средств СП</t>
  </si>
  <si>
    <t>приобретение зап.частей д/ трактора</t>
  </si>
  <si>
    <r>
      <t xml:space="preserve">Прочие мероприятия в области благоустройства </t>
    </r>
    <r>
      <rPr>
        <sz val="10"/>
        <color indexed="8"/>
        <rFont val="Arial CYR"/>
        <charset val="204"/>
      </rPr>
      <t>(проведение оплачиваемых общественных работ за счет средств МР)</t>
    </r>
  </si>
  <si>
    <t>Обустройство пешеходных дорожек вблизи домов с №6 по №16 в д.Алексеевка</t>
  </si>
  <si>
    <t xml:space="preserve">средства населения (не менее - 4 %) </t>
  </si>
  <si>
    <t>должностные оклады на 01.01.24</t>
  </si>
  <si>
    <t>приобретение мебели в здание администрации СП</t>
  </si>
  <si>
    <t>обучение (44 ФЗ, охрана труда, экологической безопасности)</t>
  </si>
  <si>
    <t>окашивание территории СП</t>
  </si>
  <si>
    <t>очистка от снега тротуаров и зоны отдыха</t>
  </si>
  <si>
    <t>Организация работ по благоустройству пешеходных дорожек тротуарной плиткой в д. Алексеевка вблизи домов с № 2 по № 18А и с № 11 по № 16 в рамках реализации инициативных проектов</t>
  </si>
  <si>
    <t>РАСХОДЫ БЮДЖЕТА МО СП "ДЕРЕВНЯ АЛЕКСЕЕВКА" на 2024- 2026 годы</t>
  </si>
  <si>
    <t>2026 г.</t>
  </si>
  <si>
    <t>Заработная плата 39 окладов</t>
  </si>
  <si>
    <t>Заработная плата спец-т 39 окладов, техничка 37 окладов</t>
  </si>
  <si>
    <t>средства СП</t>
  </si>
  <si>
    <t>средства МР</t>
  </si>
  <si>
    <t>05 0 03 S0246</t>
  </si>
  <si>
    <t>02 0 00 L5760</t>
  </si>
  <si>
    <t>Укладка выравнивающего и одного дополнительного слоя асфальтового покрытия с обеспечением ровности и сцепных свойств дорожного покрытия в д.Алексеевка от д.6 до д.18А 2610 м2</t>
  </si>
  <si>
    <t>ремонт здания администрации (кровля здания)</t>
  </si>
  <si>
    <t>Уточненная роспись на 01.10.2023 г.</t>
  </si>
  <si>
    <t>командировки</t>
  </si>
  <si>
    <t>затраты на ТО и ремонт вычислительной техники, заправка картриджей</t>
  </si>
  <si>
    <t>средства поселения (сметы, технадзор)</t>
  </si>
  <si>
    <t>областные средства (90% от стоимости проекта, но не более 1000,0 тыс. руб.)</t>
  </si>
  <si>
    <t>средства поселения (сметы,технадзор)</t>
  </si>
  <si>
    <t>приобретение оргтехники</t>
  </si>
  <si>
    <t>услуги по составлению сведений за размещение отходов производства и потребления по форме № 2-ТП</t>
  </si>
  <si>
    <t>права на ПО "Единая система государственных и муниципальных сайтов" (Ростелеком)</t>
  </si>
  <si>
    <t>затраты на приобретение ГСМ 144 тыс.руб.; Запчасти 20,0 тыс. рублей</t>
  </si>
  <si>
    <t>затраты на приобретение хоз.товаров</t>
  </si>
  <si>
    <t>затраты на проведение диспансеризации работников (5110+5884)</t>
  </si>
  <si>
    <t>приобретение блок-контейнера для инвентаря</t>
  </si>
  <si>
    <t>ограждение детской площадки</t>
  </si>
  <si>
    <t>Очистка и благоустройство пруда в деревне Алексеевка</t>
  </si>
  <si>
    <t>05 0 03 S0247</t>
  </si>
  <si>
    <t>на 2024 -2026 годы</t>
  </si>
  <si>
    <t>средства поселения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</si>
</sst>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35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color indexed="8"/>
      <name val="Arial Cyr"/>
      <family val="2"/>
      <charset val="204"/>
    </font>
    <font>
      <sz val="10"/>
      <color indexed="8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name val="Arial Cyr"/>
      <family val="2"/>
      <charset val="204"/>
    </font>
    <font>
      <b/>
      <i/>
      <sz val="11"/>
      <name val="Arial Cyr"/>
      <family val="2"/>
      <charset val="204"/>
    </font>
    <font>
      <i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i/>
      <sz val="10"/>
      <name val="Arial CYR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i/>
      <sz val="10"/>
      <color indexed="8"/>
      <name val="Arial Cyr"/>
      <charset val="204"/>
    </font>
    <font>
      <b/>
      <i/>
      <sz val="10"/>
      <color indexed="8"/>
      <name val="Arial Cyr"/>
      <charset val="204"/>
    </font>
    <font>
      <i/>
      <sz val="10"/>
      <name val="Arial Cyr"/>
      <charset val="204"/>
    </font>
    <font>
      <i/>
      <sz val="10"/>
      <name val="Arial Cyr"/>
      <family val="2"/>
      <charset val="204"/>
    </font>
    <font>
      <i/>
      <sz val="10"/>
      <name val="Arial"/>
      <family val="2"/>
      <charset val="204"/>
    </font>
    <font>
      <b/>
      <sz val="11"/>
      <name val="Arial Cyr"/>
      <charset val="204"/>
    </font>
    <font>
      <sz val="10"/>
      <color rgb="FF000000"/>
      <name val="Arial Cyr"/>
      <family val="2"/>
    </font>
    <font>
      <b/>
      <sz val="11"/>
      <color indexed="8"/>
      <name val="Arial CYR"/>
      <charset val="204"/>
    </font>
    <font>
      <b/>
      <sz val="12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i/>
      <sz val="11"/>
      <name val="Arial Cyr"/>
      <charset val="204"/>
    </font>
    <font>
      <sz val="11"/>
      <name val="Calibri"/>
      <family val="2"/>
      <charset val="204"/>
    </font>
    <font>
      <b/>
      <sz val="10"/>
      <color rgb="FF000000"/>
      <name val="Arial CYR"/>
      <family val="2"/>
    </font>
    <font>
      <b/>
      <sz val="11"/>
      <name val="Calibri"/>
      <family val="2"/>
      <charset val="204"/>
    </font>
    <font>
      <sz val="11"/>
      <color rgb="FF000000"/>
      <name val="Times New Roman"/>
      <family val="2"/>
    </font>
    <font>
      <i/>
      <sz val="11"/>
      <name val="Arial Cyr"/>
      <charset val="204"/>
    </font>
    <font>
      <i/>
      <sz val="10"/>
      <color rgb="FF000000"/>
      <name val="Arial Cyr"/>
      <charset val="204"/>
    </font>
    <font>
      <b/>
      <i/>
      <sz val="10"/>
      <color theme="1"/>
      <name val="Arial Cyr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rgb="FFCCFFFF"/>
      </patternFill>
    </fill>
    <fill>
      <patternFill patternType="solid">
        <fgColor theme="0"/>
        <bgColor indexed="26"/>
      </patternFill>
    </fill>
    <fill>
      <patternFill patternType="solid">
        <fgColor rgb="FFC0C0C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theme="9" tint="0.59999389629810485"/>
        <bgColor indexed="26"/>
      </patternFill>
    </fill>
    <fill>
      <patternFill patternType="solid">
        <fgColor rgb="FFFF0000"/>
        <bgColor indexed="26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7">
    <xf numFmtId="0" fontId="0" fillId="0" borderId="0"/>
    <xf numFmtId="0" fontId="2" fillId="2" borderId="0"/>
    <xf numFmtId="49" fontId="21" fillId="0" borderId="13">
      <alignment vertical="top" wrapText="1"/>
    </xf>
    <xf numFmtId="0" fontId="26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4" fillId="8" borderId="0"/>
    <xf numFmtId="0" fontId="4" fillId="0" borderId="0">
      <alignment wrapText="1"/>
    </xf>
    <xf numFmtId="0" fontId="4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4" fillId="0" borderId="0">
      <alignment horizontal="right"/>
    </xf>
    <xf numFmtId="0" fontId="4" fillId="8" borderId="12"/>
    <xf numFmtId="0" fontId="4" fillId="0" borderId="1">
      <alignment horizontal="center" vertical="center" wrapText="1"/>
    </xf>
    <xf numFmtId="0" fontId="4" fillId="8" borderId="5"/>
    <xf numFmtId="49" fontId="4" fillId="0" borderId="1">
      <alignment horizontal="left" vertical="top" wrapText="1" indent="2"/>
    </xf>
    <xf numFmtId="49" fontId="4" fillId="0" borderId="1">
      <alignment horizontal="center" vertical="top" shrinkToFit="1"/>
    </xf>
    <xf numFmtId="4" fontId="4" fillId="0" borderId="1">
      <alignment horizontal="right" vertical="top" shrinkToFit="1"/>
    </xf>
    <xf numFmtId="10" fontId="4" fillId="0" borderId="1">
      <alignment horizontal="right" vertical="top" shrinkToFit="1"/>
    </xf>
    <xf numFmtId="0" fontId="4" fillId="8" borderId="5">
      <alignment shrinkToFit="1"/>
    </xf>
    <xf numFmtId="0" fontId="6" fillId="0" borderId="1">
      <alignment horizontal="left"/>
    </xf>
    <xf numFmtId="4" fontId="6" fillId="9" borderId="1">
      <alignment horizontal="right" vertical="top" shrinkToFit="1"/>
    </xf>
    <xf numFmtId="10" fontId="6" fillId="9" borderId="1">
      <alignment horizontal="right" vertical="top" shrinkToFit="1"/>
    </xf>
    <xf numFmtId="0" fontId="4" fillId="8" borderId="21"/>
    <xf numFmtId="0" fontId="4" fillId="0" borderId="0">
      <alignment horizontal="left" wrapText="1"/>
    </xf>
    <xf numFmtId="0" fontId="6" fillId="0" borderId="1">
      <alignment vertical="top" wrapText="1"/>
    </xf>
    <xf numFmtId="4" fontId="6" fillId="10" borderId="1">
      <alignment horizontal="right" vertical="top" shrinkToFit="1"/>
    </xf>
    <xf numFmtId="10" fontId="6" fillId="10" borderId="1">
      <alignment horizontal="right" vertical="top" shrinkToFit="1"/>
    </xf>
    <xf numFmtId="0" fontId="4" fillId="8" borderId="5">
      <alignment horizontal="center"/>
    </xf>
    <xf numFmtId="0" fontId="4" fillId="8" borderId="5">
      <alignment horizontal="left"/>
    </xf>
    <xf numFmtId="0" fontId="4" fillId="8" borderId="21">
      <alignment horizontal="center"/>
    </xf>
    <xf numFmtId="0" fontId="4" fillId="8" borderId="21">
      <alignment horizontal="left"/>
    </xf>
    <xf numFmtId="4" fontId="27" fillId="11" borderId="13">
      <alignment horizontal="right" vertical="top" shrinkToFit="1"/>
    </xf>
    <xf numFmtId="0" fontId="29" fillId="13" borderId="22">
      <alignment horizontal="center"/>
      <protection locked="0"/>
    </xf>
  </cellStyleXfs>
  <cellXfs count="281">
    <xf numFmtId="0" fontId="0" fillId="0" borderId="0" xfId="0"/>
    <xf numFmtId="0" fontId="2" fillId="2" borderId="0" xfId="1"/>
    <xf numFmtId="0" fontId="2" fillId="2" borderId="1" xfId="1" applyFont="1" applyBorder="1" applyAlignment="1">
      <alignment horizontal="center"/>
    </xf>
    <xf numFmtId="0" fontId="6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vertical="top" wrapText="1"/>
    </xf>
    <xf numFmtId="0" fontId="11" fillId="2" borderId="1" xfId="1" applyFont="1" applyFill="1" applyBorder="1" applyAlignment="1">
      <alignment vertical="top" wrapText="1"/>
    </xf>
    <xf numFmtId="0" fontId="2" fillId="2" borderId="0" xfId="1" applyAlignment="1"/>
    <xf numFmtId="0" fontId="10" fillId="2" borderId="1" xfId="1" applyFont="1" applyFill="1" applyBorder="1" applyAlignment="1">
      <alignment vertical="top" wrapText="1"/>
    </xf>
    <xf numFmtId="0" fontId="15" fillId="2" borderId="1" xfId="1" applyFont="1" applyFill="1" applyBorder="1" applyAlignment="1">
      <alignment vertical="top" wrapText="1"/>
    </xf>
    <xf numFmtId="0" fontId="15" fillId="0" borderId="1" xfId="1" applyFont="1" applyFill="1" applyBorder="1" applyAlignment="1">
      <alignment vertical="top" wrapText="1"/>
    </xf>
    <xf numFmtId="0" fontId="17" fillId="2" borderId="1" xfId="1" applyFont="1" applyFill="1" applyBorder="1" applyAlignment="1">
      <alignment vertical="top" wrapText="1"/>
    </xf>
    <xf numFmtId="0" fontId="17" fillId="0" borderId="1" xfId="1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0" xfId="1" applyFont="1"/>
    <xf numFmtId="0" fontId="5" fillId="2" borderId="1" xfId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top" shrinkToFit="1"/>
    </xf>
    <xf numFmtId="49" fontId="10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shrinkToFit="1"/>
    </xf>
    <xf numFmtId="49" fontId="11" fillId="2" borderId="1" xfId="0" applyNumberFormat="1" applyFont="1" applyFill="1" applyBorder="1" applyAlignment="1">
      <alignment horizontal="center" vertical="top" wrapText="1"/>
    </xf>
    <xf numFmtId="49" fontId="13" fillId="0" borderId="7" xfId="0" applyNumberFormat="1" applyFont="1" applyBorder="1" applyAlignment="1">
      <alignment vertical="top"/>
    </xf>
    <xf numFmtId="49" fontId="15" fillId="2" borderId="1" xfId="0" applyNumberFormat="1" applyFont="1" applyFill="1" applyBorder="1" applyAlignment="1">
      <alignment horizontal="center" vertical="top" shrinkToFit="1"/>
    </xf>
    <xf numFmtId="49" fontId="15" fillId="2" borderId="1" xfId="0" applyNumberFormat="1" applyFont="1" applyFill="1" applyBorder="1" applyAlignment="1">
      <alignment horizontal="center" vertical="top" wrapText="1"/>
    </xf>
    <xf numFmtId="49" fontId="15" fillId="0" borderId="1" xfId="0" applyNumberFormat="1" applyFont="1" applyFill="1" applyBorder="1" applyAlignment="1">
      <alignment horizontal="center" vertical="top" shrinkToFit="1"/>
    </xf>
    <xf numFmtId="49" fontId="15" fillId="0" borderId="1" xfId="0" applyNumberFormat="1" applyFont="1" applyFill="1" applyBorder="1" applyAlignment="1">
      <alignment horizontal="center" vertical="top" wrapText="1"/>
    </xf>
    <xf numFmtId="49" fontId="17" fillId="2" borderId="1" xfId="0" applyNumberFormat="1" applyFont="1" applyFill="1" applyBorder="1" applyAlignment="1">
      <alignment horizontal="center" vertical="top" shrinkToFit="1"/>
    </xf>
    <xf numFmtId="49" fontId="17" fillId="2" borderId="1" xfId="0" applyNumberFormat="1" applyFont="1" applyFill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horizontal="center" vertical="top" shrinkToFit="1"/>
    </xf>
    <xf numFmtId="49" fontId="17" fillId="0" borderId="1" xfId="0" applyNumberFormat="1" applyFont="1" applyFill="1" applyBorder="1" applyAlignment="1">
      <alignment horizontal="center" vertical="top" wrapText="1"/>
    </xf>
    <xf numFmtId="49" fontId="17" fillId="0" borderId="7" xfId="0" applyNumberFormat="1" applyFont="1" applyBorder="1" applyAlignment="1">
      <alignment vertical="top"/>
    </xf>
    <xf numFmtId="49" fontId="0" fillId="2" borderId="1" xfId="0" applyNumberFormat="1" applyFont="1" applyFill="1" applyBorder="1" applyAlignment="1">
      <alignment horizontal="center" vertical="top" shrinkToFit="1"/>
    </xf>
    <xf numFmtId="49" fontId="13" fillId="2" borderId="1" xfId="0" applyNumberFormat="1" applyFont="1" applyFill="1" applyBorder="1" applyAlignment="1">
      <alignment horizontal="center" vertical="top" shrinkToFit="1"/>
    </xf>
    <xf numFmtId="49" fontId="11" fillId="2" borderId="1" xfId="0" applyNumberFormat="1" applyFont="1" applyFill="1" applyBorder="1" applyAlignment="1">
      <alignment horizontal="center" vertical="top" shrinkToFit="1"/>
    </xf>
    <xf numFmtId="49" fontId="0" fillId="2" borderId="6" xfId="0" applyNumberFormat="1" applyFont="1" applyFill="1" applyBorder="1" applyAlignment="1">
      <alignment horizontal="center" vertical="top" shrinkToFit="1"/>
    </xf>
    <xf numFmtId="0" fontId="13" fillId="0" borderId="7" xfId="0" applyFont="1" applyBorder="1" applyAlignment="1">
      <alignment horizontal="center" vertical="top"/>
    </xf>
    <xf numFmtId="0" fontId="17" fillId="0" borderId="7" xfId="0" applyFont="1" applyBorder="1" applyAlignment="1">
      <alignment horizontal="center" vertical="top"/>
    </xf>
    <xf numFmtId="49" fontId="0" fillId="0" borderId="7" xfId="0" applyNumberFormat="1" applyBorder="1" applyAlignment="1">
      <alignment vertical="top"/>
    </xf>
    <xf numFmtId="49" fontId="0" fillId="2" borderId="4" xfId="0" applyNumberFormat="1" applyFont="1" applyFill="1" applyBorder="1" applyAlignment="1">
      <alignment horizontal="center" vertical="top" shrinkToFit="1"/>
    </xf>
    <xf numFmtId="0" fontId="4" fillId="2" borderId="3" xfId="1" applyFont="1" applyFill="1" applyBorder="1" applyAlignment="1">
      <alignment vertical="top" wrapText="1"/>
    </xf>
    <xf numFmtId="49" fontId="4" fillId="0" borderId="3" xfId="0" applyNumberFormat="1" applyFont="1" applyFill="1" applyBorder="1" applyAlignment="1">
      <alignment horizontal="center" vertical="top" shrinkToFit="1"/>
    </xf>
    <xf numFmtId="0" fontId="6" fillId="0" borderId="2" xfId="1" applyFont="1" applyFill="1" applyBorder="1" applyAlignment="1">
      <alignment vertical="top" wrapText="1"/>
    </xf>
    <xf numFmtId="49" fontId="6" fillId="2" borderId="2" xfId="0" applyNumberFormat="1" applyFont="1" applyFill="1" applyBorder="1" applyAlignment="1">
      <alignment horizontal="center" vertical="top" shrinkToFit="1"/>
    </xf>
    <xf numFmtId="49" fontId="6" fillId="0" borderId="2" xfId="0" applyNumberFormat="1" applyFont="1" applyFill="1" applyBorder="1" applyAlignment="1">
      <alignment horizontal="center" vertical="top" wrapText="1"/>
    </xf>
    <xf numFmtId="0" fontId="15" fillId="2" borderId="7" xfId="1" applyFont="1" applyFill="1" applyBorder="1" applyAlignment="1">
      <alignment vertical="top" wrapText="1"/>
    </xf>
    <xf numFmtId="49" fontId="15" fillId="0" borderId="7" xfId="0" applyNumberFormat="1" applyFont="1" applyFill="1" applyBorder="1" applyAlignment="1">
      <alignment horizontal="center" vertical="top" shrinkToFit="1"/>
    </xf>
    <xf numFmtId="49" fontId="13" fillId="0" borderId="0" xfId="0" applyNumberFormat="1" applyFont="1" applyBorder="1" applyAlignment="1">
      <alignment vertical="top"/>
    </xf>
    <xf numFmtId="0" fontId="17" fillId="3" borderId="7" xfId="0" applyFont="1" applyFill="1" applyBorder="1" applyAlignment="1">
      <alignment horizontal="center" vertical="top"/>
    </xf>
    <xf numFmtId="0" fontId="17" fillId="0" borderId="7" xfId="0" applyFont="1" applyFill="1" applyBorder="1" applyAlignment="1">
      <alignment horizontal="center" vertical="top"/>
    </xf>
    <xf numFmtId="4" fontId="7" fillId="2" borderId="1" xfId="1" applyNumberFormat="1" applyFont="1" applyBorder="1" applyAlignment="1">
      <alignment vertical="top"/>
    </xf>
    <xf numFmtId="4" fontId="2" fillId="2" borderId="1" xfId="1" applyNumberFormat="1" applyBorder="1" applyAlignment="1">
      <alignment horizontal="right" vertical="top"/>
    </xf>
    <xf numFmtId="4" fontId="1" fillId="2" borderId="1" xfId="1" applyNumberFormat="1" applyFont="1" applyBorder="1" applyAlignment="1">
      <alignment vertical="top"/>
    </xf>
    <xf numFmtId="4" fontId="6" fillId="2" borderId="2" xfId="1" applyNumberFormat="1" applyFont="1" applyFill="1" applyBorder="1" applyAlignment="1">
      <alignment horizontal="right" vertical="top" wrapText="1"/>
    </xf>
    <xf numFmtId="4" fontId="10" fillId="0" borderId="1" xfId="1" applyNumberFormat="1" applyFont="1" applyFill="1" applyBorder="1" applyAlignment="1">
      <alignment horizontal="right" vertical="top" shrinkToFit="1"/>
    </xf>
    <xf numFmtId="4" fontId="2" fillId="0" borderId="1" xfId="1" applyNumberFormat="1" applyFill="1" applyBorder="1" applyAlignment="1">
      <alignment vertical="top"/>
    </xf>
    <xf numFmtId="4" fontId="2" fillId="2" borderId="1" xfId="1" applyNumberFormat="1" applyBorder="1" applyAlignment="1">
      <alignment vertical="top"/>
    </xf>
    <xf numFmtId="4" fontId="4" fillId="0" borderId="1" xfId="1" applyNumberFormat="1" applyFont="1" applyFill="1" applyBorder="1" applyAlignment="1">
      <alignment horizontal="right" vertical="top" shrinkToFit="1"/>
    </xf>
    <xf numFmtId="4" fontId="15" fillId="0" borderId="1" xfId="1" applyNumberFormat="1" applyFont="1" applyFill="1" applyBorder="1" applyAlignment="1">
      <alignment horizontal="right" vertical="top" shrinkToFit="1"/>
    </xf>
    <xf numFmtId="4" fontId="17" fillId="0" borderId="1" xfId="1" applyNumberFormat="1" applyFont="1" applyFill="1" applyBorder="1" applyAlignment="1">
      <alignment vertical="top"/>
    </xf>
    <xf numFmtId="4" fontId="4" fillId="0" borderId="2" xfId="1" applyNumberFormat="1" applyFont="1" applyFill="1" applyBorder="1" applyAlignment="1">
      <alignment horizontal="right" vertical="top" shrinkToFit="1"/>
    </xf>
    <xf numFmtId="4" fontId="4" fillId="0" borderId="3" xfId="1" applyNumberFormat="1" applyFont="1" applyFill="1" applyBorder="1" applyAlignment="1">
      <alignment horizontal="right" vertical="top" shrinkToFit="1"/>
    </xf>
    <xf numFmtId="4" fontId="15" fillId="0" borderId="7" xfId="1" applyNumberFormat="1" applyFont="1" applyFill="1" applyBorder="1" applyAlignment="1">
      <alignment horizontal="right" vertical="top" shrinkToFit="1"/>
    </xf>
    <xf numFmtId="4" fontId="13" fillId="0" borderId="1" xfId="1" applyNumberFormat="1" applyFont="1" applyFill="1" applyBorder="1" applyAlignment="1">
      <alignment vertical="top"/>
    </xf>
    <xf numFmtId="4" fontId="11" fillId="0" borderId="1" xfId="1" applyNumberFormat="1" applyFont="1" applyFill="1" applyBorder="1" applyAlignment="1">
      <alignment horizontal="right" vertical="top" shrinkToFit="1"/>
    </xf>
    <xf numFmtId="4" fontId="18" fillId="0" borderId="1" xfId="1" applyNumberFormat="1" applyFont="1" applyFill="1" applyBorder="1" applyAlignment="1">
      <alignment vertical="top"/>
    </xf>
    <xf numFmtId="4" fontId="17" fillId="0" borderId="1" xfId="1" applyNumberFormat="1" applyFont="1" applyFill="1" applyBorder="1" applyAlignment="1">
      <alignment horizontal="right" vertical="top" shrinkToFit="1"/>
    </xf>
    <xf numFmtId="4" fontId="12" fillId="0" borderId="1" xfId="1" applyNumberFormat="1" applyFont="1" applyFill="1" applyBorder="1" applyAlignment="1">
      <alignment horizontal="right" vertical="top" shrinkToFit="1"/>
    </xf>
    <xf numFmtId="4" fontId="17" fillId="3" borderId="1" xfId="1" applyNumberFormat="1" applyFont="1" applyFill="1" applyBorder="1" applyAlignment="1">
      <alignment horizontal="right" vertical="top" shrinkToFit="1"/>
    </xf>
    <xf numFmtId="4" fontId="13" fillId="0" borderId="1" xfId="1" applyNumberFormat="1" applyFont="1" applyFill="1" applyBorder="1" applyAlignment="1">
      <alignment horizontal="right" vertical="top" shrinkToFit="1"/>
    </xf>
    <xf numFmtId="0" fontId="9" fillId="0" borderId="1" xfId="1" applyFont="1" applyFill="1" applyBorder="1" applyAlignment="1">
      <alignment vertical="top" wrapText="1"/>
    </xf>
    <xf numFmtId="49" fontId="0" fillId="0" borderId="7" xfId="0" applyNumberFormat="1" applyFont="1" applyBorder="1" applyAlignment="1">
      <alignment vertical="top"/>
    </xf>
    <xf numFmtId="0" fontId="0" fillId="0" borderId="7" xfId="0" applyBorder="1" applyAlignment="1">
      <alignment horizontal="center" vertical="top"/>
    </xf>
    <xf numFmtId="0" fontId="17" fillId="2" borderId="1" xfId="1" applyFont="1" applyFill="1" applyBorder="1" applyAlignment="1">
      <alignment horizontal="left" vertical="top" wrapText="1"/>
    </xf>
    <xf numFmtId="49" fontId="17" fillId="2" borderId="4" xfId="0" applyNumberFormat="1" applyFont="1" applyFill="1" applyBorder="1" applyAlignment="1">
      <alignment horizontal="center" vertical="top" shrinkToFit="1"/>
    </xf>
    <xf numFmtId="49" fontId="17" fillId="2" borderId="6" xfId="0" applyNumberFormat="1" applyFont="1" applyFill="1" applyBorder="1" applyAlignment="1">
      <alignment horizontal="center" vertical="top" shrinkToFit="1"/>
    </xf>
    <xf numFmtId="4" fontId="10" fillId="6" borderId="2" xfId="1" applyNumberFormat="1" applyFont="1" applyFill="1" applyBorder="1" applyAlignment="1">
      <alignment horizontal="right" vertical="top" wrapText="1"/>
    </xf>
    <xf numFmtId="0" fontId="20" fillId="6" borderId="1" xfId="1" applyFont="1" applyFill="1" applyBorder="1" applyAlignment="1">
      <alignment horizontal="center" vertical="top" wrapText="1"/>
    </xf>
    <xf numFmtId="4" fontId="17" fillId="2" borderId="1" xfId="1" applyNumberFormat="1" applyFont="1" applyBorder="1" applyAlignment="1">
      <alignment vertical="top"/>
    </xf>
    <xf numFmtId="0" fontId="15" fillId="2" borderId="2" xfId="1" applyFont="1" applyFill="1" applyBorder="1" applyAlignment="1">
      <alignment vertical="top" wrapText="1"/>
    </xf>
    <xf numFmtId="0" fontId="15" fillId="2" borderId="3" xfId="1" applyFont="1" applyFill="1" applyBorder="1" applyAlignment="1">
      <alignment vertical="top" wrapText="1"/>
    </xf>
    <xf numFmtId="49" fontId="15" fillId="2" borderId="3" xfId="0" applyNumberFormat="1" applyFont="1" applyFill="1" applyBorder="1" applyAlignment="1">
      <alignment horizontal="center" vertical="top" shrinkToFit="1"/>
    </xf>
    <xf numFmtId="49" fontId="17" fillId="0" borderId="8" xfId="0" applyNumberFormat="1" applyFont="1" applyBorder="1" applyAlignment="1">
      <alignment vertical="top"/>
    </xf>
    <xf numFmtId="49" fontId="15" fillId="2" borderId="7" xfId="0" applyNumberFormat="1" applyFont="1" applyFill="1" applyBorder="1" applyAlignment="1">
      <alignment horizontal="center" vertical="top" shrinkToFit="1"/>
    </xf>
    <xf numFmtId="49" fontId="15" fillId="2" borderId="6" xfId="0" applyNumberFormat="1" applyFont="1" applyFill="1" applyBorder="1" applyAlignment="1">
      <alignment horizontal="center" vertical="top" shrinkToFit="1"/>
    </xf>
    <xf numFmtId="49" fontId="13" fillId="2" borderId="4" xfId="0" applyNumberFormat="1" applyFont="1" applyFill="1" applyBorder="1" applyAlignment="1">
      <alignment horizontal="center" vertical="top" shrinkToFit="1"/>
    </xf>
    <xf numFmtId="49" fontId="13" fillId="2" borderId="6" xfId="0" applyNumberFormat="1" applyFont="1" applyFill="1" applyBorder="1" applyAlignment="1">
      <alignment horizontal="center" vertical="top" shrinkToFit="1"/>
    </xf>
    <xf numFmtId="0" fontId="11" fillId="0" borderId="4" xfId="1" applyFont="1" applyFill="1" applyBorder="1" applyAlignment="1">
      <alignment horizontal="left" vertical="top" wrapText="1"/>
    </xf>
    <xf numFmtId="49" fontId="11" fillId="0" borderId="7" xfId="0" applyNumberFormat="1" applyFont="1" applyFill="1" applyBorder="1" applyAlignment="1">
      <alignment horizontal="center" vertical="top" shrinkToFit="1"/>
    </xf>
    <xf numFmtId="4" fontId="11" fillId="0" borderId="6" xfId="1" applyNumberFormat="1" applyFont="1" applyFill="1" applyBorder="1" applyAlignment="1">
      <alignment horizontal="right" vertical="top" shrinkToFit="1"/>
    </xf>
    <xf numFmtId="4" fontId="10" fillId="5" borderId="1" xfId="1" applyNumberFormat="1" applyFont="1" applyFill="1" applyBorder="1" applyAlignment="1">
      <alignment horizontal="right" vertical="top" shrinkToFit="1"/>
    </xf>
    <xf numFmtId="0" fontId="13" fillId="2" borderId="1" xfId="1" applyFont="1" applyFill="1" applyBorder="1" applyAlignment="1">
      <alignment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0" fontId="1" fillId="2" borderId="1" xfId="1" applyFont="1" applyFill="1" applyBorder="1" applyAlignment="1">
      <alignment vertical="top" wrapText="1"/>
    </xf>
    <xf numFmtId="0" fontId="0" fillId="0" borderId="7" xfId="0" applyFont="1" applyBorder="1" applyAlignment="1">
      <alignment horizontal="center" vertical="top"/>
    </xf>
    <xf numFmtId="0" fontId="1" fillId="2" borderId="1" xfId="1" applyFont="1" applyFill="1" applyBorder="1" applyAlignment="1">
      <alignment horizontal="left" vertical="top" wrapText="1"/>
    </xf>
    <xf numFmtId="0" fontId="1" fillId="2" borderId="3" xfId="1" applyFont="1" applyFill="1" applyBorder="1" applyAlignment="1">
      <alignment vertical="top" wrapText="1"/>
    </xf>
    <xf numFmtId="49" fontId="10" fillId="2" borderId="4" xfId="0" applyNumberFormat="1" applyFont="1" applyFill="1" applyBorder="1" applyAlignment="1">
      <alignment horizontal="center" vertical="top" shrinkToFit="1"/>
    </xf>
    <xf numFmtId="49" fontId="15" fillId="2" borderId="4" xfId="0" applyNumberFormat="1" applyFont="1" applyFill="1" applyBorder="1" applyAlignment="1">
      <alignment horizontal="center" vertical="top" shrinkToFit="1"/>
    </xf>
    <xf numFmtId="49" fontId="10" fillId="2" borderId="6" xfId="0" applyNumberFormat="1" applyFont="1" applyFill="1" applyBorder="1" applyAlignment="1">
      <alignment horizontal="center" vertical="top" shrinkToFit="1"/>
    </xf>
    <xf numFmtId="49" fontId="15" fillId="2" borderId="3" xfId="0" applyNumberFormat="1" applyFont="1" applyFill="1" applyBorder="1" applyAlignment="1">
      <alignment horizontal="center" vertical="top" wrapText="1"/>
    </xf>
    <xf numFmtId="49" fontId="10" fillId="2" borderId="7" xfId="0" applyNumberFormat="1" applyFont="1" applyFill="1" applyBorder="1" applyAlignment="1">
      <alignment horizontal="center" vertical="top" wrapText="1"/>
    </xf>
    <xf numFmtId="49" fontId="15" fillId="2" borderId="7" xfId="0" applyNumberFormat="1" applyFont="1" applyFill="1" applyBorder="1" applyAlignment="1">
      <alignment horizontal="center" vertical="top" wrapText="1"/>
    </xf>
    <xf numFmtId="49" fontId="11" fillId="2" borderId="6" xfId="0" applyNumberFormat="1" applyFont="1" applyFill="1" applyBorder="1" applyAlignment="1">
      <alignment horizontal="center" vertical="top" shrinkToFit="1"/>
    </xf>
    <xf numFmtId="49" fontId="10" fillId="2" borderId="3" xfId="0" applyNumberFormat="1" applyFont="1" applyFill="1" applyBorder="1" applyAlignment="1">
      <alignment horizontal="center" vertical="top" shrinkToFit="1"/>
    </xf>
    <xf numFmtId="49" fontId="13" fillId="0" borderId="8" xfId="0" applyNumberFormat="1" applyFont="1" applyBorder="1" applyAlignment="1">
      <alignment vertical="top"/>
    </xf>
    <xf numFmtId="0" fontId="23" fillId="0" borderId="7" xfId="0" applyFont="1" applyFill="1" applyBorder="1" applyAlignment="1">
      <alignment vertical="top" wrapText="1"/>
    </xf>
    <xf numFmtId="0" fontId="17" fillId="2" borderId="4" xfId="1" applyFont="1" applyFill="1" applyBorder="1" applyAlignment="1">
      <alignment vertical="top" wrapText="1"/>
    </xf>
    <xf numFmtId="49" fontId="17" fillId="2" borderId="7" xfId="0" applyNumberFormat="1" applyFont="1" applyFill="1" applyBorder="1" applyAlignment="1">
      <alignment horizontal="center" vertical="top" shrinkToFit="1"/>
    </xf>
    <xf numFmtId="0" fontId="10" fillId="0" borderId="4" xfId="1" applyFont="1" applyFill="1" applyBorder="1" applyAlignment="1">
      <alignment vertical="top" wrapText="1"/>
    </xf>
    <xf numFmtId="49" fontId="10" fillId="0" borderId="7" xfId="0" applyNumberFormat="1" applyFont="1" applyFill="1" applyBorder="1" applyAlignment="1">
      <alignment horizontal="center" vertical="top" shrinkToFit="1"/>
    </xf>
    <xf numFmtId="49" fontId="10" fillId="0" borderId="7" xfId="0" applyNumberFormat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4" fontId="6" fillId="0" borderId="2" xfId="1" applyNumberFormat="1" applyFont="1" applyFill="1" applyBorder="1" applyAlignment="1">
      <alignment horizontal="right" vertical="top" wrapText="1"/>
    </xf>
    <xf numFmtId="0" fontId="10" fillId="0" borderId="1" xfId="1" applyFont="1" applyFill="1" applyBorder="1" applyAlignment="1">
      <alignment vertical="top" wrapText="1"/>
    </xf>
    <xf numFmtId="49" fontId="11" fillId="0" borderId="6" xfId="0" applyNumberFormat="1" applyFont="1" applyFill="1" applyBorder="1" applyAlignment="1">
      <alignment horizontal="center" vertical="top" shrinkToFit="1"/>
    </xf>
    <xf numFmtId="49" fontId="11" fillId="0" borderId="1" xfId="0" applyNumberFormat="1" applyFont="1" applyFill="1" applyBorder="1" applyAlignment="1">
      <alignment horizontal="center" vertical="top" shrinkToFit="1"/>
    </xf>
    <xf numFmtId="0" fontId="10" fillId="4" borderId="2" xfId="1" applyFont="1" applyFill="1" applyBorder="1" applyAlignment="1">
      <alignment horizontal="center" vertical="top" wrapText="1"/>
    </xf>
    <xf numFmtId="4" fontId="10" fillId="5" borderId="2" xfId="1" applyNumberFormat="1" applyFont="1" applyFill="1" applyBorder="1" applyAlignment="1">
      <alignment horizontal="right" vertical="top" shrinkToFit="1"/>
    </xf>
    <xf numFmtId="0" fontId="10" fillId="4" borderId="4" xfId="1" applyFont="1" applyFill="1" applyBorder="1" applyAlignment="1">
      <alignment horizontal="center" vertical="top" wrapText="1"/>
    </xf>
    <xf numFmtId="0" fontId="13" fillId="4" borderId="1" xfId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shrinkToFit="1"/>
    </xf>
    <xf numFmtId="49" fontId="10" fillId="0" borderId="1" xfId="0" applyNumberFormat="1" applyFont="1" applyFill="1" applyBorder="1" applyAlignment="1">
      <alignment horizontal="center" vertical="top" wrapText="1"/>
    </xf>
    <xf numFmtId="0" fontId="12" fillId="0" borderId="1" xfId="1" applyFont="1" applyFill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top" shrinkToFit="1"/>
    </xf>
    <xf numFmtId="49" fontId="12" fillId="0" borderId="1" xfId="0" applyNumberFormat="1" applyFont="1" applyFill="1" applyBorder="1" applyAlignment="1">
      <alignment horizontal="center" vertical="top" wrapText="1"/>
    </xf>
    <xf numFmtId="0" fontId="10" fillId="4" borderId="1" xfId="1" applyFont="1" applyFill="1" applyBorder="1" applyAlignment="1">
      <alignment horizontal="center" vertical="top" wrapText="1"/>
    </xf>
    <xf numFmtId="49" fontId="10" fillId="4" borderId="1" xfId="0" applyNumberFormat="1" applyFont="1" applyFill="1" applyBorder="1" applyAlignment="1">
      <alignment horizontal="center" vertical="top" shrinkToFit="1"/>
    </xf>
    <xf numFmtId="0" fontId="13" fillId="5" borderId="0" xfId="0" applyFont="1" applyFill="1" applyBorder="1" applyAlignment="1">
      <alignment horizontal="center" vertical="top"/>
    </xf>
    <xf numFmtId="0" fontId="10" fillId="2" borderId="3" xfId="1" applyFont="1" applyFill="1" applyBorder="1" applyAlignment="1">
      <alignment vertical="top" wrapText="1"/>
    </xf>
    <xf numFmtId="4" fontId="13" fillId="0" borderId="3" xfId="1" applyNumberFormat="1" applyFont="1" applyFill="1" applyBorder="1" applyAlignment="1">
      <alignment vertical="top"/>
    </xf>
    <xf numFmtId="49" fontId="10" fillId="2" borderId="3" xfId="0" applyNumberFormat="1" applyFont="1" applyFill="1" applyBorder="1" applyAlignment="1">
      <alignment horizontal="center" vertical="top" wrapText="1"/>
    </xf>
    <xf numFmtId="0" fontId="10" fillId="2" borderId="14" xfId="1" applyFont="1" applyFill="1" applyBorder="1" applyAlignment="1">
      <alignment vertical="top" wrapText="1"/>
    </xf>
    <xf numFmtId="49" fontId="10" fillId="2" borderId="19" xfId="0" applyNumberFormat="1" applyFont="1" applyFill="1" applyBorder="1" applyAlignment="1">
      <alignment horizontal="center" vertical="top" shrinkToFit="1"/>
    </xf>
    <xf numFmtId="49" fontId="13" fillId="0" borderId="19" xfId="0" applyNumberFormat="1" applyFont="1" applyBorder="1" applyAlignment="1">
      <alignment vertical="top"/>
    </xf>
    <xf numFmtId="4" fontId="15" fillId="0" borderId="18" xfId="1" applyNumberFormat="1" applyFont="1" applyFill="1" applyBorder="1" applyAlignment="1">
      <alignment horizontal="right" vertical="top" shrinkToFit="1"/>
    </xf>
    <xf numFmtId="4" fontId="10" fillId="0" borderId="18" xfId="1" applyNumberFormat="1" applyFont="1" applyFill="1" applyBorder="1" applyAlignment="1">
      <alignment horizontal="right" vertical="top" shrinkToFit="1"/>
    </xf>
    <xf numFmtId="0" fontId="17" fillId="2" borderId="7" xfId="1" applyFont="1" applyFill="1" applyBorder="1" applyAlignment="1">
      <alignment vertical="top" wrapText="1"/>
    </xf>
    <xf numFmtId="0" fontId="17" fillId="0" borderId="2" xfId="1" applyFont="1" applyFill="1" applyBorder="1" applyAlignment="1">
      <alignment vertical="top" wrapText="1"/>
    </xf>
    <xf numFmtId="0" fontId="25" fillId="2" borderId="1" xfId="1" applyFont="1" applyBorder="1" applyAlignment="1">
      <alignment vertical="top" wrapText="1"/>
    </xf>
    <xf numFmtId="0" fontId="25" fillId="0" borderId="4" xfId="0" applyFont="1" applyBorder="1" applyAlignment="1">
      <alignment horizontal="center" vertical="top" wrapText="1"/>
    </xf>
    <xf numFmtId="0" fontId="25" fillId="0" borderId="5" xfId="0" applyFont="1" applyBorder="1" applyAlignment="1">
      <alignment horizontal="center" vertical="top" wrapText="1"/>
    </xf>
    <xf numFmtId="0" fontId="25" fillId="0" borderId="6" xfId="0" applyFont="1" applyBorder="1" applyAlignment="1">
      <alignment horizontal="center" vertical="top" wrapText="1"/>
    </xf>
    <xf numFmtId="4" fontId="16" fillId="2" borderId="2" xfId="1" applyNumberFormat="1" applyFont="1" applyFill="1" applyBorder="1" applyAlignment="1">
      <alignment horizontal="right" vertical="top" wrapText="1"/>
    </xf>
    <xf numFmtId="0" fontId="19" fillId="7" borderId="1" xfId="0" applyFont="1" applyFill="1" applyBorder="1" applyAlignment="1">
      <alignment vertical="top" wrapText="1"/>
    </xf>
    <xf numFmtId="49" fontId="9" fillId="12" borderId="4" xfId="0" applyNumberFormat="1" applyFont="1" applyFill="1" applyBorder="1" applyAlignment="1">
      <alignment horizontal="center" vertical="top" shrinkToFit="1"/>
    </xf>
    <xf numFmtId="49" fontId="9" fillId="12" borderId="7" xfId="0" applyNumberFormat="1" applyFont="1" applyFill="1" applyBorder="1" applyAlignment="1">
      <alignment horizontal="center" vertical="top" wrapText="1"/>
    </xf>
    <xf numFmtId="49" fontId="9" fillId="12" borderId="6" xfId="0" applyNumberFormat="1" applyFont="1" applyFill="1" applyBorder="1" applyAlignment="1">
      <alignment horizontal="center" vertical="top" shrinkToFit="1"/>
    </xf>
    <xf numFmtId="49" fontId="9" fillId="12" borderId="1" xfId="0" applyNumberFormat="1" applyFont="1" applyFill="1" applyBorder="1" applyAlignment="1">
      <alignment horizontal="center" vertical="top" shrinkToFit="1"/>
    </xf>
    <xf numFmtId="4" fontId="18" fillId="7" borderId="1" xfId="1" applyNumberFormat="1" applyFont="1" applyFill="1" applyBorder="1" applyAlignment="1">
      <alignment vertical="top"/>
    </xf>
    <xf numFmtId="0" fontId="10" fillId="2" borderId="7" xfId="1" applyFont="1" applyFill="1" applyBorder="1" applyAlignment="1">
      <alignment vertical="top" wrapText="1"/>
    </xf>
    <xf numFmtId="49" fontId="10" fillId="2" borderId="7" xfId="0" applyNumberFormat="1" applyFont="1" applyFill="1" applyBorder="1" applyAlignment="1">
      <alignment horizontal="center" vertical="top" shrinkToFit="1"/>
    </xf>
    <xf numFmtId="4" fontId="10" fillId="0" borderId="7" xfId="1" applyNumberFormat="1" applyFont="1" applyFill="1" applyBorder="1" applyAlignment="1">
      <alignment horizontal="right" vertical="top" shrinkToFit="1"/>
    </xf>
    <xf numFmtId="49" fontId="4" fillId="0" borderId="1" xfId="0" applyNumberFormat="1" applyFont="1" applyFill="1" applyBorder="1" applyAlignment="1">
      <alignment horizontal="center" vertical="top" shrinkToFit="1"/>
    </xf>
    <xf numFmtId="49" fontId="0" fillId="0" borderId="7" xfId="0" applyNumberFormat="1" applyFont="1" applyFill="1" applyBorder="1" applyAlignment="1">
      <alignment vertical="top"/>
    </xf>
    <xf numFmtId="49" fontId="13" fillId="0" borderId="7" xfId="0" applyNumberFormat="1" applyFont="1" applyFill="1" applyBorder="1" applyAlignment="1">
      <alignment vertical="top"/>
    </xf>
    <xf numFmtId="0" fontId="11" fillId="0" borderId="1" xfId="1" applyFont="1" applyFill="1" applyBorder="1" applyAlignment="1">
      <alignment vertical="top" wrapText="1"/>
    </xf>
    <xf numFmtId="4" fontId="1" fillId="0" borderId="1" xfId="1" applyNumberFormat="1" applyFont="1" applyFill="1" applyBorder="1" applyAlignment="1">
      <alignment vertical="top"/>
    </xf>
    <xf numFmtId="49" fontId="1" fillId="2" borderId="1" xfId="0" applyNumberFormat="1" applyFont="1" applyFill="1" applyBorder="1" applyAlignment="1">
      <alignment horizontal="center" vertical="top" shrinkToFit="1"/>
    </xf>
    <xf numFmtId="0" fontId="1" fillId="0" borderId="7" xfId="0" applyFont="1" applyBorder="1" applyAlignment="1">
      <alignment horizontal="center" vertical="top"/>
    </xf>
    <xf numFmtId="49" fontId="1" fillId="2" borderId="6" xfId="0" applyNumberFormat="1" applyFont="1" applyFill="1" applyBorder="1" applyAlignment="1">
      <alignment horizontal="center" vertical="top" shrinkToFit="1"/>
    </xf>
    <xf numFmtId="4" fontId="1" fillId="0" borderId="1" xfId="1" applyNumberFormat="1" applyFont="1" applyFill="1" applyBorder="1" applyAlignment="1">
      <alignment horizontal="right" vertical="top" shrinkToFi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0" fillId="2" borderId="1" xfId="1" applyFont="1" applyFill="1" applyBorder="1" applyAlignment="1">
      <alignment vertical="top" wrapText="1"/>
    </xf>
    <xf numFmtId="49" fontId="17" fillId="0" borderId="4" xfId="0" applyNumberFormat="1" applyFont="1" applyFill="1" applyBorder="1" applyAlignment="1">
      <alignment horizontal="center" vertical="top" shrinkToFit="1"/>
    </xf>
    <xf numFmtId="49" fontId="17" fillId="0" borderId="6" xfId="0" applyNumberFormat="1" applyFont="1" applyFill="1" applyBorder="1" applyAlignment="1">
      <alignment horizontal="center" vertical="top" shrinkToFit="1"/>
    </xf>
    <xf numFmtId="0" fontId="17" fillId="0" borderId="1" xfId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vertical="top" wrapText="1"/>
    </xf>
    <xf numFmtId="0" fontId="10" fillId="2" borderId="0" xfId="1" applyFont="1" applyFill="1" applyBorder="1" applyAlignment="1">
      <alignment vertical="top" wrapText="1"/>
    </xf>
    <xf numFmtId="49" fontId="15" fillId="2" borderId="5" xfId="0" applyNumberFormat="1" applyFont="1" applyFill="1" applyBorder="1" applyAlignment="1">
      <alignment horizontal="center" vertical="top" shrinkToFit="1"/>
    </xf>
    <xf numFmtId="0" fontId="30" fillId="0" borderId="1" xfId="0" applyFont="1" applyBorder="1" applyAlignment="1">
      <alignment vertical="top" wrapText="1"/>
    </xf>
    <xf numFmtId="0" fontId="30" fillId="4" borderId="1" xfId="1" applyFont="1" applyFill="1" applyBorder="1" applyAlignment="1">
      <alignment vertical="top" wrapText="1"/>
    </xf>
    <xf numFmtId="0" fontId="30" fillId="5" borderId="4" xfId="0" applyFont="1" applyFill="1" applyBorder="1" applyAlignment="1">
      <alignment horizontal="center" vertical="top" wrapText="1"/>
    </xf>
    <xf numFmtId="0" fontId="30" fillId="5" borderId="5" xfId="0" applyFont="1" applyFill="1" applyBorder="1" applyAlignment="1">
      <alignment horizontal="center" vertical="top" wrapText="1"/>
    </xf>
    <xf numFmtId="0" fontId="30" fillId="5" borderId="6" xfId="0" applyFont="1" applyFill="1" applyBorder="1" applyAlignment="1">
      <alignment horizontal="center" vertical="top" wrapText="1"/>
    </xf>
    <xf numFmtId="4" fontId="17" fillId="4" borderId="1" xfId="1" applyNumberFormat="1" applyFont="1" applyFill="1" applyBorder="1" applyAlignment="1">
      <alignment vertical="top"/>
    </xf>
    <xf numFmtId="4" fontId="2" fillId="0" borderId="1" xfId="1" applyNumberFormat="1" applyFill="1" applyBorder="1" applyAlignment="1">
      <alignment horizontal="right" vertical="top"/>
    </xf>
    <xf numFmtId="4" fontId="17" fillId="0" borderId="2" xfId="1" applyNumberFormat="1" applyFont="1" applyFill="1" applyBorder="1" applyAlignment="1">
      <alignment horizontal="right" vertical="top"/>
    </xf>
    <xf numFmtId="49" fontId="15" fillId="0" borderId="2" xfId="0" applyNumberFormat="1" applyFont="1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/>
    </xf>
    <xf numFmtId="49" fontId="15" fillId="2" borderId="0" xfId="0" applyNumberFormat="1" applyFont="1" applyFill="1" applyBorder="1" applyAlignment="1">
      <alignment horizontal="center" vertical="top" wrapText="1"/>
    </xf>
    <xf numFmtId="49" fontId="17" fillId="0" borderId="0" xfId="0" applyNumberFormat="1" applyFont="1" applyFill="1" applyBorder="1" applyAlignment="1">
      <alignment horizontal="center" vertical="top" wrapText="1"/>
    </xf>
    <xf numFmtId="0" fontId="15" fillId="2" borderId="0" xfId="1" applyFont="1" applyFill="1" applyBorder="1" applyAlignment="1">
      <alignment vertical="top" wrapText="1"/>
    </xf>
    <xf numFmtId="0" fontId="10" fillId="0" borderId="2" xfId="1" applyFont="1" applyFill="1" applyBorder="1" applyAlignment="1">
      <alignment vertical="top" wrapText="1"/>
    </xf>
    <xf numFmtId="49" fontId="11" fillId="0" borderId="17" xfId="0" applyNumberFormat="1" applyFont="1" applyFill="1" applyBorder="1" applyAlignment="1">
      <alignment horizontal="center" vertical="top" shrinkToFit="1"/>
    </xf>
    <xf numFmtId="49" fontId="10" fillId="0" borderId="17" xfId="0" applyNumberFormat="1" applyFont="1" applyFill="1" applyBorder="1" applyAlignment="1">
      <alignment horizontal="center" vertical="top" wrapText="1"/>
    </xf>
    <xf numFmtId="49" fontId="11" fillId="0" borderId="2" xfId="0" applyNumberFormat="1" applyFont="1" applyFill="1" applyBorder="1" applyAlignment="1">
      <alignment horizontal="center" vertical="top" shrinkToFit="1"/>
    </xf>
    <xf numFmtId="4" fontId="10" fillId="0" borderId="2" xfId="1" applyNumberFormat="1" applyFont="1" applyFill="1" applyBorder="1" applyAlignment="1">
      <alignment horizontal="right" vertical="top" shrinkToFit="1"/>
    </xf>
    <xf numFmtId="0" fontId="9" fillId="0" borderId="4" xfId="1" applyFont="1" applyFill="1" applyBorder="1" applyAlignment="1">
      <alignment vertical="top" wrapText="1"/>
    </xf>
    <xf numFmtId="4" fontId="18" fillId="0" borderId="6" xfId="1" applyNumberFormat="1" applyFont="1" applyFill="1" applyBorder="1" applyAlignment="1">
      <alignment vertical="top"/>
    </xf>
    <xf numFmtId="49" fontId="9" fillId="0" borderId="3" xfId="0" applyNumberFormat="1" applyFont="1" applyFill="1" applyBorder="1" applyAlignment="1">
      <alignment horizontal="center" vertical="top" shrinkToFit="1"/>
    </xf>
    <xf numFmtId="49" fontId="9" fillId="0" borderId="3" xfId="0" applyNumberFormat="1" applyFont="1" applyFill="1" applyBorder="1" applyAlignment="1">
      <alignment horizontal="center" vertical="top" wrapText="1"/>
    </xf>
    <xf numFmtId="49" fontId="9" fillId="12" borderId="16" xfId="0" applyNumberFormat="1" applyFont="1" applyFill="1" applyBorder="1" applyAlignment="1">
      <alignment horizontal="center" vertical="top" shrinkToFit="1"/>
    </xf>
    <xf numFmtId="49" fontId="9" fillId="12" borderId="20" xfId="0" applyNumberFormat="1" applyFont="1" applyFill="1" applyBorder="1" applyAlignment="1">
      <alignment horizontal="center" vertical="top" wrapText="1"/>
    </xf>
    <xf numFmtId="49" fontId="9" fillId="12" borderId="17" xfId="0" applyNumberFormat="1" applyFont="1" applyFill="1" applyBorder="1" applyAlignment="1">
      <alignment horizontal="center" vertical="top" shrinkToFit="1"/>
    </xf>
    <xf numFmtId="49" fontId="9" fillId="12" borderId="2" xfId="0" applyNumberFormat="1" applyFont="1" applyFill="1" applyBorder="1" applyAlignment="1">
      <alignment horizontal="center" vertical="top" shrinkToFit="1"/>
    </xf>
    <xf numFmtId="49" fontId="9" fillId="0" borderId="7" xfId="0" applyNumberFormat="1" applyFont="1" applyFill="1" applyBorder="1" applyAlignment="1">
      <alignment horizontal="center" vertical="top" shrinkToFit="1"/>
    </xf>
    <xf numFmtId="49" fontId="9" fillId="0" borderId="7" xfId="0" applyNumberFormat="1" applyFont="1" applyFill="1" applyBorder="1" applyAlignment="1">
      <alignment horizontal="center" vertical="top" wrapText="1"/>
    </xf>
    <xf numFmtId="49" fontId="15" fillId="2" borderId="27" xfId="0" applyNumberFormat="1" applyFont="1" applyFill="1" applyBorder="1" applyAlignment="1">
      <alignment horizontal="center" vertical="top" shrinkToFit="1"/>
    </xf>
    <xf numFmtId="49" fontId="15" fillId="2" borderId="18" xfId="0" applyNumberFormat="1" applyFont="1" applyFill="1" applyBorder="1" applyAlignment="1">
      <alignment horizontal="center" vertical="top" shrinkToFit="1"/>
    </xf>
    <xf numFmtId="0" fontId="14" fillId="0" borderId="7" xfId="0" applyFont="1" applyBorder="1" applyAlignment="1">
      <alignment horizontal="center" vertical="top"/>
    </xf>
    <xf numFmtId="4" fontId="2" fillId="14" borderId="1" xfId="1" applyNumberFormat="1" applyFill="1" applyBorder="1" applyAlignment="1">
      <alignment horizontal="right" vertical="top"/>
    </xf>
    <xf numFmtId="0" fontId="0" fillId="15" borderId="1" xfId="1" applyFont="1" applyFill="1" applyBorder="1" applyAlignment="1">
      <alignment vertical="top" wrapText="1"/>
    </xf>
    <xf numFmtId="0" fontId="0" fillId="16" borderId="1" xfId="1" applyFont="1" applyFill="1" applyBorder="1" applyAlignment="1">
      <alignment vertical="top" wrapText="1"/>
    </xf>
    <xf numFmtId="0" fontId="0" fillId="0" borderId="7" xfId="0" applyBorder="1" applyAlignment="1">
      <alignment horizontal="center" vertical="top"/>
    </xf>
    <xf numFmtId="4" fontId="17" fillId="14" borderId="1" xfId="1" applyNumberFormat="1" applyFont="1" applyFill="1" applyBorder="1" applyAlignment="1">
      <alignment vertical="top"/>
    </xf>
    <xf numFmtId="0" fontId="24" fillId="14" borderId="7" xfId="0" applyFont="1" applyFill="1" applyBorder="1" applyAlignment="1">
      <alignment vertical="center" wrapText="1"/>
    </xf>
    <xf numFmtId="49" fontId="15" fillId="17" borderId="4" xfId="0" applyNumberFormat="1" applyFont="1" applyFill="1" applyBorder="1" applyAlignment="1">
      <alignment horizontal="center" vertical="top" shrinkToFit="1"/>
    </xf>
    <xf numFmtId="0" fontId="17" fillId="14" borderId="7" xfId="0" applyFont="1" applyFill="1" applyBorder="1" applyAlignment="1">
      <alignment horizontal="center" vertical="top"/>
    </xf>
    <xf numFmtId="49" fontId="15" fillId="17" borderId="6" xfId="0" applyNumberFormat="1" applyFont="1" applyFill="1" applyBorder="1" applyAlignment="1">
      <alignment horizontal="center" vertical="top" shrinkToFit="1"/>
    </xf>
    <xf numFmtId="49" fontId="15" fillId="17" borderId="1" xfId="0" applyNumberFormat="1" applyFont="1" applyFill="1" applyBorder="1" applyAlignment="1">
      <alignment horizontal="center" vertical="top" shrinkToFit="1"/>
    </xf>
    <xf numFmtId="0" fontId="24" fillId="14" borderId="20" xfId="0" applyFont="1" applyFill="1" applyBorder="1" applyAlignment="1">
      <alignment vertical="center" wrapText="1"/>
    </xf>
    <xf numFmtId="4" fontId="13" fillId="14" borderId="1" xfId="1" applyNumberFormat="1" applyFont="1" applyFill="1" applyBorder="1" applyAlignment="1">
      <alignment vertical="top"/>
    </xf>
    <xf numFmtId="0" fontId="31" fillId="0" borderId="13" xfId="14" applyNumberFormat="1" applyFont="1" applyBorder="1" applyAlignment="1" applyProtection="1">
      <alignment horizontal="left" vertical="top" wrapText="1"/>
    </xf>
    <xf numFmtId="4" fontId="2" fillId="0" borderId="1" xfId="1" applyNumberFormat="1" applyFont="1" applyFill="1" applyBorder="1" applyAlignment="1">
      <alignment horizontal="right" vertical="top" shrinkToFit="1"/>
    </xf>
    <xf numFmtId="0" fontId="26" fillId="0" borderId="0" xfId="3" applyFill="1"/>
    <xf numFmtId="0" fontId="0" fillId="0" borderId="0" xfId="0" applyFill="1"/>
    <xf numFmtId="0" fontId="26" fillId="0" borderId="7" xfId="3" applyFill="1" applyBorder="1"/>
    <xf numFmtId="0" fontId="26" fillId="0" borderId="7" xfId="3" applyFill="1" applyBorder="1" applyAlignment="1">
      <alignment horizontal="center" vertical="top" wrapText="1"/>
    </xf>
    <xf numFmtId="0" fontId="26" fillId="0" borderId="7" xfId="3" applyFill="1" applyBorder="1" applyAlignment="1">
      <alignment horizontal="center" vertical="center" wrapText="1"/>
    </xf>
    <xf numFmtId="0" fontId="26" fillId="0" borderId="7" xfId="3" applyFill="1" applyBorder="1" applyAlignment="1">
      <alignment wrapText="1"/>
    </xf>
    <xf numFmtId="0" fontId="26" fillId="0" borderId="7" xfId="3" applyFont="1" applyFill="1" applyBorder="1" applyAlignment="1">
      <alignment horizontal="left" wrapText="1"/>
    </xf>
    <xf numFmtId="3" fontId="26" fillId="0" borderId="7" xfId="3" applyNumberFormat="1" applyFont="1" applyFill="1" applyBorder="1" applyAlignment="1">
      <alignment horizontal="right"/>
    </xf>
    <xf numFmtId="3" fontId="26" fillId="0" borderId="7" xfId="3" applyNumberFormat="1" applyFill="1" applyBorder="1"/>
    <xf numFmtId="165" fontId="26" fillId="0" borderId="7" xfId="3" applyNumberFormat="1" applyFill="1" applyBorder="1"/>
    <xf numFmtId="3" fontId="26" fillId="0" borderId="7" xfId="3" applyNumberFormat="1" applyFill="1" applyBorder="1" applyAlignment="1">
      <alignment wrapText="1"/>
    </xf>
    <xf numFmtId="164" fontId="26" fillId="0" borderId="7" xfId="3" applyNumberFormat="1" applyFill="1" applyBorder="1"/>
    <xf numFmtId="3" fontId="28" fillId="0" borderId="7" xfId="3" applyNumberFormat="1" applyFont="1" applyFill="1" applyBorder="1"/>
    <xf numFmtId="3" fontId="28" fillId="0" borderId="7" xfId="3" applyNumberFormat="1" applyFont="1" applyFill="1" applyBorder="1" applyAlignment="1">
      <alignment wrapText="1"/>
    </xf>
    <xf numFmtId="4" fontId="32" fillId="2" borderId="2" xfId="1" applyNumberFormat="1" applyFont="1" applyFill="1" applyBorder="1" applyAlignment="1">
      <alignment horizontal="right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center" wrapText="1"/>
    </xf>
    <xf numFmtId="49" fontId="11" fillId="2" borderId="23" xfId="0" applyNumberFormat="1" applyFont="1" applyFill="1" applyBorder="1" applyAlignment="1">
      <alignment horizontal="center" vertical="center" shrinkToFit="1"/>
    </xf>
    <xf numFmtId="49" fontId="11" fillId="2" borderId="24" xfId="0" applyNumberFormat="1" applyFont="1" applyFill="1" applyBorder="1" applyAlignment="1">
      <alignment horizontal="center" vertical="center" shrinkToFit="1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49" fontId="11" fillId="2" borderId="3" xfId="0" applyNumberFormat="1" applyFont="1" applyFill="1" applyBorder="1" applyAlignment="1">
      <alignment horizontal="center" vertical="center" shrinkToFit="1"/>
    </xf>
    <xf numFmtId="49" fontId="11" fillId="2" borderId="2" xfId="0" applyNumberFormat="1" applyFont="1" applyFill="1" applyBorder="1" applyAlignment="1">
      <alignment horizontal="center" vertical="center" shrinkToFit="1"/>
    </xf>
    <xf numFmtId="0" fontId="3" fillId="2" borderId="0" xfId="1" applyFont="1" applyFill="1" applyBorder="1" applyAlignment="1">
      <alignment horizontal="center" wrapText="1"/>
    </xf>
    <xf numFmtId="0" fontId="3" fillId="2" borderId="0" xfId="1" applyFont="1" applyFill="1" applyBorder="1" applyAlignment="1">
      <alignment horizontal="center"/>
    </xf>
    <xf numFmtId="0" fontId="4" fillId="2" borderId="12" xfId="1" applyFont="1" applyFill="1" applyBorder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4" xfId="1" applyFont="1" applyBorder="1" applyAlignment="1">
      <alignment horizontal="center" vertical="center" wrapText="1"/>
    </xf>
    <xf numFmtId="0" fontId="2" fillId="2" borderId="5" xfId="1" applyFont="1" applyBorder="1" applyAlignment="1">
      <alignment horizontal="center" vertical="center" wrapText="1"/>
    </xf>
    <xf numFmtId="0" fontId="2" fillId="2" borderId="6" xfId="1" applyFont="1" applyBorder="1" applyAlignment="1">
      <alignment horizontal="center" vertical="center" wrapText="1"/>
    </xf>
    <xf numFmtId="49" fontId="20" fillId="4" borderId="4" xfId="0" applyNumberFormat="1" applyFont="1" applyFill="1" applyBorder="1" applyAlignment="1">
      <alignment horizontal="center" vertical="top" wrapText="1"/>
    </xf>
    <xf numFmtId="49" fontId="20" fillId="4" borderId="5" xfId="0" applyNumberFormat="1" applyFont="1" applyFill="1" applyBorder="1" applyAlignment="1">
      <alignment horizontal="center" vertical="top" wrapText="1"/>
    </xf>
    <xf numFmtId="49" fontId="20" fillId="4" borderId="6" xfId="0" applyNumberFormat="1" applyFont="1" applyFill="1" applyBorder="1" applyAlignment="1">
      <alignment horizontal="center" vertical="top" wrapText="1"/>
    </xf>
    <xf numFmtId="49" fontId="20" fillId="5" borderId="14" xfId="0" applyNumberFormat="1" applyFont="1" applyFill="1" applyBorder="1" applyAlignment="1">
      <alignment horizontal="center" vertical="top"/>
    </xf>
    <xf numFmtId="49" fontId="20" fillId="5" borderId="0" xfId="0" applyNumberFormat="1" applyFont="1" applyFill="1" applyBorder="1" applyAlignment="1">
      <alignment horizontal="center" vertical="top"/>
    </xf>
    <xf numFmtId="49" fontId="20" fillId="5" borderId="15" xfId="0" applyNumberFormat="1" applyFont="1" applyFill="1" applyBorder="1" applyAlignment="1">
      <alignment horizontal="center" vertical="top"/>
    </xf>
    <xf numFmtId="49" fontId="22" fillId="4" borderId="7" xfId="0" applyNumberFormat="1" applyFont="1" applyFill="1" applyBorder="1" applyAlignment="1">
      <alignment horizontal="center" vertical="top" shrinkToFit="1"/>
    </xf>
    <xf numFmtId="49" fontId="20" fillId="4" borderId="16" xfId="0" applyNumberFormat="1" applyFont="1" applyFill="1" applyBorder="1" applyAlignment="1">
      <alignment horizontal="center" vertical="top" shrinkToFit="1"/>
    </xf>
    <xf numFmtId="49" fontId="20" fillId="4" borderId="12" xfId="0" applyNumberFormat="1" applyFont="1" applyFill="1" applyBorder="1" applyAlignment="1">
      <alignment horizontal="center" vertical="top" shrinkToFit="1"/>
    </xf>
    <xf numFmtId="49" fontId="20" fillId="4" borderId="17" xfId="0" applyNumberFormat="1" applyFont="1" applyFill="1" applyBorder="1" applyAlignment="1">
      <alignment horizontal="center" vertical="top" shrinkToFi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28" fillId="0" borderId="9" xfId="3" applyFont="1" applyFill="1" applyBorder="1" applyAlignment="1">
      <alignment horizontal="left"/>
    </xf>
    <xf numFmtId="0" fontId="28" fillId="0" borderId="11" xfId="3" applyFont="1" applyFill="1" applyBorder="1" applyAlignment="1">
      <alignment horizontal="left"/>
    </xf>
    <xf numFmtId="0" fontId="28" fillId="0" borderId="10" xfId="3" applyFont="1" applyFill="1" applyBorder="1" applyAlignment="1">
      <alignment horizontal="left"/>
    </xf>
    <xf numFmtId="0" fontId="28" fillId="0" borderId="0" xfId="3" applyFont="1" applyFill="1" applyAlignment="1">
      <alignment horizontal="center"/>
    </xf>
    <xf numFmtId="0" fontId="28" fillId="0" borderId="9" xfId="3" applyFont="1" applyFill="1" applyBorder="1" applyAlignment="1">
      <alignment horizontal="center"/>
    </xf>
    <xf numFmtId="0" fontId="26" fillId="0" borderId="11" xfId="3" applyFill="1" applyBorder="1" applyAlignment="1">
      <alignment horizontal="center"/>
    </xf>
    <xf numFmtId="0" fontId="26" fillId="0" borderId="10" xfId="3" applyFill="1" applyBorder="1" applyAlignment="1">
      <alignment horizontal="center"/>
    </xf>
    <xf numFmtId="0" fontId="28" fillId="0" borderId="7" xfId="3" applyFont="1" applyFill="1" applyBorder="1" applyAlignment="1">
      <alignment horizontal="center"/>
    </xf>
    <xf numFmtId="4" fontId="33" fillId="0" borderId="1" xfId="1" applyNumberFormat="1" applyFont="1" applyFill="1" applyBorder="1" applyAlignment="1">
      <alignment horizontal="right" vertical="top" shrinkToFit="1"/>
    </xf>
    <xf numFmtId="4" fontId="34" fillId="0" borderId="1" xfId="1" applyNumberFormat="1" applyFont="1" applyFill="1" applyBorder="1" applyAlignment="1">
      <alignment horizontal="right" vertical="top" shrinkToFit="1"/>
    </xf>
    <xf numFmtId="0" fontId="0" fillId="0" borderId="1" xfId="1" applyFont="1" applyFill="1" applyBorder="1" applyAlignment="1">
      <alignment vertical="top" wrapText="1"/>
    </xf>
    <xf numFmtId="0" fontId="0" fillId="18" borderId="1" xfId="1" applyFont="1" applyFill="1" applyBorder="1" applyAlignment="1">
      <alignment vertical="top" wrapText="1"/>
    </xf>
  </cellXfs>
  <cellStyles count="37">
    <cellStyle name="br" xfId="4"/>
    <cellStyle name="col" xfId="5"/>
    <cellStyle name="st16" xfId="2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7 2" xfId="36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64" xfId="35"/>
    <cellStyle name="Обычный" xfId="0" builtinId="0"/>
    <cellStyle name="Обычный 2" xfId="3"/>
    <cellStyle name="Обычный_Рачет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1"/>
  <sheetViews>
    <sheetView showGridLines="0" workbookViewId="0">
      <pane xSplit="2" ySplit="18" topLeftCell="C211" activePane="bottomRight" state="frozen"/>
      <selection pane="topRight" activeCell="C1" sqref="C1"/>
      <selection pane="bottomLeft" activeCell="A16" sqref="A16"/>
      <selection pane="bottomRight" activeCell="K218" sqref="K218:M219"/>
    </sheetView>
  </sheetViews>
  <sheetFormatPr defaultRowHeight="12.75" outlineLevelRow="7"/>
  <cols>
    <col min="1" max="1" width="73.28515625" style="1" customWidth="1"/>
    <col min="2" max="2" width="5.85546875" style="1" customWidth="1"/>
    <col min="3" max="3" width="13.140625" style="1" customWidth="1"/>
    <col min="4" max="4" width="5.5703125" style="1" customWidth="1"/>
    <col min="5" max="5" width="5.28515625" style="1" customWidth="1"/>
    <col min="6" max="7" width="12.28515625" style="1" customWidth="1"/>
    <col min="8" max="8" width="12.5703125" style="1" customWidth="1"/>
    <col min="9" max="9" width="12.85546875" style="1" customWidth="1"/>
    <col min="10" max="10" width="12.42578125" style="1" customWidth="1"/>
    <col min="11" max="11" width="12.5703125" style="1" customWidth="1"/>
    <col min="12" max="12" width="12.28515625" style="1" customWidth="1"/>
    <col min="13" max="13" width="13.42578125" style="1" customWidth="1"/>
    <col min="14" max="16384" width="9.140625" style="1"/>
  </cols>
  <sheetData>
    <row r="1" spans="1:13" ht="15.75" customHeight="1">
      <c r="A1" s="244" t="s">
        <v>236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</row>
    <row r="2" spans="1:13" ht="15.75">
      <c r="A2" s="245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>
      <c r="A3" s="246" t="s">
        <v>0</v>
      </c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</row>
    <row r="4" spans="1:13" ht="54.6" customHeight="1">
      <c r="A4" s="247" t="s">
        <v>1</v>
      </c>
      <c r="B4" s="248" t="s">
        <v>60</v>
      </c>
      <c r="C4" s="249"/>
      <c r="D4" s="249"/>
      <c r="E4" s="250"/>
      <c r="F4" s="251" t="s">
        <v>219</v>
      </c>
      <c r="G4" s="247" t="s">
        <v>246</v>
      </c>
      <c r="H4" s="253" t="s">
        <v>6</v>
      </c>
      <c r="I4" s="254"/>
      <c r="J4" s="255"/>
      <c r="K4" s="253" t="s">
        <v>7</v>
      </c>
      <c r="L4" s="254"/>
      <c r="M4" s="255"/>
    </row>
    <row r="5" spans="1:13" ht="25.5">
      <c r="A5" s="247"/>
      <c r="B5" s="12" t="s">
        <v>2</v>
      </c>
      <c r="C5" s="12" t="s">
        <v>3</v>
      </c>
      <c r="D5" s="12" t="s">
        <v>4</v>
      </c>
      <c r="E5" s="12" t="s">
        <v>5</v>
      </c>
      <c r="F5" s="252"/>
      <c r="G5" s="247"/>
      <c r="H5" s="2" t="s">
        <v>192</v>
      </c>
      <c r="I5" s="2" t="s">
        <v>220</v>
      </c>
      <c r="J5" s="2" t="s">
        <v>237</v>
      </c>
      <c r="K5" s="2" t="s">
        <v>192</v>
      </c>
      <c r="L5" s="2" t="s">
        <v>220</v>
      </c>
      <c r="M5" s="2" t="s">
        <v>237</v>
      </c>
    </row>
    <row r="6" spans="1:13" ht="15">
      <c r="A6" s="14" t="s">
        <v>8</v>
      </c>
      <c r="B6" s="266"/>
      <c r="C6" s="267"/>
      <c r="D6" s="267"/>
      <c r="E6" s="268"/>
      <c r="F6" s="49">
        <f t="shared" ref="F6" si="0">F8-F15</f>
        <v>0</v>
      </c>
      <c r="G6" s="49">
        <f t="shared" ref="G6" si="1">G8-G15</f>
        <v>-1234638.7999999998</v>
      </c>
      <c r="H6" s="49">
        <f t="shared" ref="H6:J6" si="2">H8-H15</f>
        <v>-1761161</v>
      </c>
      <c r="I6" s="49">
        <f t="shared" si="2"/>
        <v>45336</v>
      </c>
      <c r="J6" s="49">
        <f t="shared" si="2"/>
        <v>25915</v>
      </c>
      <c r="K6" s="49">
        <f t="shared" ref="K6" si="3">K8-K15</f>
        <v>0</v>
      </c>
      <c r="L6" s="49">
        <f>L8-L15</f>
        <v>0</v>
      </c>
      <c r="M6" s="49">
        <f>M8-M15</f>
        <v>0</v>
      </c>
    </row>
    <row r="7" spans="1:13" ht="14.25">
      <c r="A7" s="175" t="s">
        <v>218</v>
      </c>
      <c r="B7" s="176"/>
      <c r="C7" s="177"/>
      <c r="D7" s="177"/>
      <c r="E7" s="178"/>
      <c r="F7" s="179">
        <f t="shared" ref="F7" si="4">F14-F18</f>
        <v>0</v>
      </c>
      <c r="G7" s="179">
        <f t="shared" ref="G7" si="5">G14-G18</f>
        <v>-1234638.7999999998</v>
      </c>
      <c r="H7" s="179">
        <f>H14-H18</f>
        <v>-1761161</v>
      </c>
      <c r="I7" s="179">
        <f t="shared" ref="I7:J7" si="6">I14-I18</f>
        <v>45336</v>
      </c>
      <c r="J7" s="179">
        <f t="shared" si="6"/>
        <v>25915</v>
      </c>
      <c r="K7" s="179">
        <f>K14-K18</f>
        <v>0</v>
      </c>
      <c r="L7" s="179">
        <f>L14-L18-86000</f>
        <v>0</v>
      </c>
      <c r="M7" s="179">
        <f>M14-M18-171500</f>
        <v>0</v>
      </c>
    </row>
    <row r="8" spans="1:13" ht="15">
      <c r="A8" s="14" t="s">
        <v>84</v>
      </c>
      <c r="B8" s="266"/>
      <c r="C8" s="267"/>
      <c r="D8" s="267"/>
      <c r="E8" s="268"/>
      <c r="F8" s="49">
        <f>SUM(F9:F13)</f>
        <v>6268850</v>
      </c>
      <c r="G8" s="49">
        <f>SUM(G9:G13)</f>
        <v>6501479.3100000005</v>
      </c>
      <c r="H8" s="49">
        <f>SUM(H9:H13)</f>
        <v>8603042</v>
      </c>
      <c r="I8" s="49">
        <f t="shared" ref="I8:J8" si="7">SUM(I9:I13)</f>
        <v>4312375</v>
      </c>
      <c r="J8" s="49">
        <f t="shared" si="7"/>
        <v>4317038</v>
      </c>
      <c r="K8" s="49">
        <f>SUM(K9:K13)</f>
        <v>4324329</v>
      </c>
      <c r="L8" s="49">
        <f t="shared" ref="L8:M8" si="8">SUM(L9:L13)</f>
        <v>3468716</v>
      </c>
      <c r="M8" s="49">
        <f t="shared" si="8"/>
        <v>3473369</v>
      </c>
    </row>
    <row r="9" spans="1:13" ht="25.5">
      <c r="A9" s="15" t="s">
        <v>214</v>
      </c>
      <c r="B9" s="266"/>
      <c r="C9" s="267"/>
      <c r="D9" s="267"/>
      <c r="E9" s="268"/>
      <c r="F9" s="50">
        <f>1677247+F185+F190+F195+F200+F207+F212+F214</f>
        <v>1741747</v>
      </c>
      <c r="G9" s="50">
        <f>1706723+G185+G190+G195+G200+G212</f>
        <v>1731223</v>
      </c>
      <c r="H9" s="50">
        <f>1640632+H185+H190+H195+H200+H212</f>
        <v>1670257</v>
      </c>
      <c r="I9" s="50">
        <f>1583632+I185+I190+I195+I200+I212</f>
        <v>1583632</v>
      </c>
      <c r="J9" s="50">
        <f>1583632+J185+J190+J195+J200+J212</f>
        <v>1583632</v>
      </c>
      <c r="K9" s="50">
        <f>1640632+K185+K190+K195+K200+K212</f>
        <v>1640632</v>
      </c>
      <c r="L9" s="50">
        <f>1583632+L185+L190+L195+L200+L212</f>
        <v>1583632</v>
      </c>
      <c r="M9" s="50">
        <f>1583632+M185+M190+M195+M200+M212</f>
        <v>1583632</v>
      </c>
    </row>
    <row r="10" spans="1:13" ht="15">
      <c r="A10" s="15" t="s">
        <v>85</v>
      </c>
      <c r="B10" s="164"/>
      <c r="C10" s="165"/>
      <c r="D10" s="165"/>
      <c r="E10" s="166"/>
      <c r="F10" s="50">
        <f>F181+F187+F192+F197+F203+F209</f>
        <v>1581257</v>
      </c>
      <c r="G10" s="50">
        <f>G181+G187+G192+G197+G203+G209</f>
        <v>1758410.31</v>
      </c>
      <c r="H10" s="50">
        <f>H181+H187+H192+H197+H203+H209</f>
        <v>3073703</v>
      </c>
      <c r="I10" s="50">
        <f t="shared" ref="I10:J10" si="9">I181+I187+I192+I197+I203+I209</f>
        <v>0</v>
      </c>
      <c r="J10" s="50">
        <f t="shared" si="9"/>
        <v>0</v>
      </c>
      <c r="K10" s="50">
        <f>K181+K187+K192+K197+K203+K209</f>
        <v>0</v>
      </c>
      <c r="L10" s="50">
        <f t="shared" ref="L10:M10" si="10">L181+L187+L192+L197+L203+L209</f>
        <v>0</v>
      </c>
      <c r="M10" s="50">
        <f t="shared" si="10"/>
        <v>0</v>
      </c>
    </row>
    <row r="11" spans="1:13" ht="15">
      <c r="A11" s="15" t="s">
        <v>86</v>
      </c>
      <c r="B11" s="164"/>
      <c r="C11" s="165"/>
      <c r="D11" s="165"/>
      <c r="E11" s="166"/>
      <c r="F11" s="50">
        <f>F216</f>
        <v>36100</v>
      </c>
      <c r="G11" s="50">
        <f>G216</f>
        <v>36100</v>
      </c>
      <c r="H11" s="50">
        <f>H216</f>
        <v>44848</v>
      </c>
      <c r="I11" s="50">
        <f t="shared" ref="I11:J11" si="11">I216</f>
        <v>49434</v>
      </c>
      <c r="J11" s="50">
        <f t="shared" si="11"/>
        <v>54097</v>
      </c>
      <c r="K11" s="50">
        <f>K216</f>
        <v>44848</v>
      </c>
      <c r="L11" s="50">
        <f t="shared" ref="L11:M11" si="12">L216</f>
        <v>49434</v>
      </c>
      <c r="M11" s="50">
        <f t="shared" si="12"/>
        <v>54097</v>
      </c>
    </row>
    <row r="12" spans="1:13" ht="15">
      <c r="A12" s="16" t="s">
        <v>9</v>
      </c>
      <c r="B12" s="266"/>
      <c r="C12" s="267"/>
      <c r="D12" s="267"/>
      <c r="E12" s="268"/>
      <c r="F12" s="51">
        <f>F92+F95+F102+F109+F134+F144+F147+F163+F184+F189+F194+F199+F206+F211</f>
        <v>924630</v>
      </c>
      <c r="G12" s="51">
        <f>G92+G95+G102+G109+G134+G144+G147+G163+G184+G189+G194+G206+G211</f>
        <v>990630</v>
      </c>
      <c r="H12" s="51">
        <f>H92+H95+H102+H109+H134+H144+H147+H163+H184+H189+H194+H199+H206+H211</f>
        <v>1829118</v>
      </c>
      <c r="I12" s="51">
        <f t="shared" ref="I12:J12" si="13">I92+I95+I102+I109+I134+I144+I147+I163+I184+I189+I194+I199+I206+I211</f>
        <v>970000</v>
      </c>
      <c r="J12" s="51">
        <f t="shared" si="13"/>
        <v>970000</v>
      </c>
      <c r="K12" s="51">
        <f>K92+K95+K102+K109+K134+K144+K147+K163+K184+K189+K194+K199+K206+K211</f>
        <v>470000</v>
      </c>
      <c r="L12" s="51">
        <f t="shared" ref="L12:M12" si="14">L92+L95+L102+L109+L134+L144+L147+L163+L184+L189+L194+L199+L206+L211</f>
        <v>0</v>
      </c>
      <c r="M12" s="51">
        <f t="shared" si="14"/>
        <v>0</v>
      </c>
    </row>
    <row r="13" spans="1:13" ht="15">
      <c r="A13" s="16" t="s">
        <v>10</v>
      </c>
      <c r="B13" s="266"/>
      <c r="C13" s="267"/>
      <c r="D13" s="267"/>
      <c r="E13" s="268"/>
      <c r="F13" s="180">
        <v>1985116</v>
      </c>
      <c r="G13" s="180">
        <v>1985116</v>
      </c>
      <c r="H13" s="205">
        <v>1985116</v>
      </c>
      <c r="I13" s="205">
        <v>1709309</v>
      </c>
      <c r="J13" s="205">
        <v>1709309</v>
      </c>
      <c r="K13" s="205">
        <v>2168849</v>
      </c>
      <c r="L13" s="205">
        <v>1835650</v>
      </c>
      <c r="M13" s="205">
        <v>1835640</v>
      </c>
    </row>
    <row r="14" spans="1:13" ht="14.25">
      <c r="A14" s="174" t="s">
        <v>217</v>
      </c>
      <c r="B14" s="142"/>
      <c r="C14" s="143"/>
      <c r="D14" s="143"/>
      <c r="E14" s="144"/>
      <c r="F14" s="181">
        <f>F9+F13</f>
        <v>3726863</v>
      </c>
      <c r="G14" s="181">
        <f>G9+G13</f>
        <v>3716339</v>
      </c>
      <c r="H14" s="181">
        <f>H9+H13</f>
        <v>3655373</v>
      </c>
      <c r="I14" s="181">
        <f t="shared" ref="I14:J14" si="15">I9+I13</f>
        <v>3292941</v>
      </c>
      <c r="J14" s="181">
        <f t="shared" si="15"/>
        <v>3292941</v>
      </c>
      <c r="K14" s="181">
        <f>K9+K13</f>
        <v>3809481</v>
      </c>
      <c r="L14" s="181">
        <f t="shared" ref="L14:M14" si="16">L9+L13</f>
        <v>3419282</v>
      </c>
      <c r="M14" s="181">
        <f t="shared" si="16"/>
        <v>3419272</v>
      </c>
    </row>
    <row r="15" spans="1:13" ht="15">
      <c r="A15" s="14" t="s">
        <v>11</v>
      </c>
      <c r="B15" s="266"/>
      <c r="C15" s="267"/>
      <c r="D15" s="267"/>
      <c r="E15" s="268"/>
      <c r="F15" s="52">
        <f t="shared" ref="F15:J15" si="17">F19+F96+F98+F108+F215</f>
        <v>6268850</v>
      </c>
      <c r="G15" s="52">
        <f t="shared" si="17"/>
        <v>7736118.1100000003</v>
      </c>
      <c r="H15" s="52">
        <f t="shared" si="17"/>
        <v>10364203</v>
      </c>
      <c r="I15" s="52">
        <f t="shared" si="17"/>
        <v>4267039</v>
      </c>
      <c r="J15" s="52">
        <f t="shared" si="17"/>
        <v>4291123</v>
      </c>
      <c r="K15" s="52">
        <f t="shared" ref="K15" si="18">K19+K96+K98+K108+K215</f>
        <v>4324329</v>
      </c>
      <c r="L15" s="52">
        <f>L19+L96+L98+L108+L215+86000</f>
        <v>3468716</v>
      </c>
      <c r="M15" s="52">
        <f>M19+M96+M98+M108+M215+171500</f>
        <v>3473369</v>
      </c>
    </row>
    <row r="16" spans="1:13" ht="14.25">
      <c r="A16" s="141" t="s">
        <v>164</v>
      </c>
      <c r="B16" s="142"/>
      <c r="C16" s="143"/>
      <c r="D16" s="143"/>
      <c r="E16" s="144"/>
      <c r="F16" s="145"/>
      <c r="G16" s="145"/>
      <c r="H16" s="145"/>
      <c r="I16" s="145"/>
      <c r="J16" s="145"/>
      <c r="K16" s="145"/>
      <c r="L16" s="233">
        <f>(L15-L10-L11-L12)*2.5%+517.95</f>
        <v>86000</v>
      </c>
      <c r="M16" s="233">
        <f>(M15-M10-M11-M12)*5%+536.4</f>
        <v>171500</v>
      </c>
    </row>
    <row r="17" spans="1:13" ht="14.25">
      <c r="A17" s="141" t="s">
        <v>163</v>
      </c>
      <c r="B17" s="142"/>
      <c r="C17" s="143"/>
      <c r="D17" s="143"/>
      <c r="E17" s="144"/>
      <c r="F17" s="145"/>
      <c r="G17" s="145"/>
      <c r="H17" s="145"/>
      <c r="I17" s="145"/>
      <c r="J17" s="145"/>
      <c r="K17" s="145"/>
      <c r="L17" s="145">
        <f>L15-L16</f>
        <v>3382716</v>
      </c>
      <c r="M17" s="145">
        <f>M15-M16</f>
        <v>3301869</v>
      </c>
    </row>
    <row r="18" spans="1:13" ht="15">
      <c r="A18" s="111" t="s">
        <v>75</v>
      </c>
      <c r="B18" s="112"/>
      <c r="C18" s="113"/>
      <c r="D18" s="113"/>
      <c r="E18" s="114"/>
      <c r="F18" s="115">
        <f>F19+F96+F98+F108-F92-F95-F102-F109-F134-F144-F147-F163-F181-F184-F187-F189-F192-F194-F197-F199-F203-F206-F209-F211</f>
        <v>3726863</v>
      </c>
      <c r="G18" s="115">
        <f>G19+G96+G98+G108-G92-G95-G102-G109-G134-G144-G147-G163-G181-G184-G187-G189-G192-G194-G197-G203-G206-G209-G211</f>
        <v>4950977.8</v>
      </c>
      <c r="H18" s="115">
        <f t="shared" ref="H18:J18" si="19">H19+H96+H98+H108-H92-H95-H102-H109-H134-H144-H147-H163-H181-H184-H187-H189-H192-H194-H197-H199-H203-H206-H209-H211</f>
        <v>5416534</v>
      </c>
      <c r="I18" s="115">
        <f t="shared" si="19"/>
        <v>3247605</v>
      </c>
      <c r="J18" s="115">
        <f t="shared" si="19"/>
        <v>3267026</v>
      </c>
      <c r="K18" s="115">
        <f t="shared" ref="K18" si="20">K19+K96+K98+K108-K92-K95-K102-K109-K134-K144-K147-K163-K181-K184-K187-K189-K192-K194-K197-K199-K203-K206-K209-K211</f>
        <v>3809481</v>
      </c>
      <c r="L18" s="115">
        <f t="shared" ref="L18" si="21">L19+L96+L98+L108-L92-L95-L102-L109-L134-L144-L147-L163-L181-L184-L187-L189-L192-L194-L197-L199-L203-L206-L209-L211</f>
        <v>3333282</v>
      </c>
      <c r="M18" s="115">
        <f t="shared" ref="M18" si="22">M19+M96+M98+M108-M92-M95-M102-M109-M134-M144-M147-M163-M181-M184-M187-M189-M192-M194-M197-M199-M203-M206-M209-M211</f>
        <v>3247772</v>
      </c>
    </row>
    <row r="19" spans="1:13" ht="15">
      <c r="A19" s="76" t="s">
        <v>111</v>
      </c>
      <c r="B19" s="256" t="s">
        <v>144</v>
      </c>
      <c r="C19" s="257"/>
      <c r="D19" s="257"/>
      <c r="E19" s="258"/>
      <c r="F19" s="75">
        <f t="shared" ref="F19:J19" si="23">F20+F24+F27+F65+F73+F76+F79+F82+F83+F84+F87+F92+F95</f>
        <v>2472549</v>
      </c>
      <c r="G19" s="75">
        <f t="shared" si="23"/>
        <v>2968605</v>
      </c>
      <c r="H19" s="75">
        <f t="shared" si="23"/>
        <v>3819887</v>
      </c>
      <c r="I19" s="75">
        <f t="shared" si="23"/>
        <v>2484517</v>
      </c>
      <c r="J19" s="75">
        <f t="shared" si="23"/>
        <v>2503938</v>
      </c>
      <c r="K19" s="75">
        <f t="shared" ref="K19" si="24">K20+K24+K27+K65+K73+K76+K79+K82+K83+K84+K87+K92+K95</f>
        <v>2931763</v>
      </c>
      <c r="L19" s="75">
        <f t="shared" ref="L19" si="25">L20+L24+L27+L65+L73+L76+L79+L82+L83+L84+L87+L92+L95</f>
        <v>2402117</v>
      </c>
      <c r="M19" s="75">
        <f t="shared" ref="M19" si="26">M20+M24+M27+M65+M73+M76+M79+M82+M83+M84+M87+M92+M95</f>
        <v>2339238</v>
      </c>
    </row>
    <row r="20" spans="1:13" outlineLevel="4">
      <c r="A20" s="3" t="s">
        <v>69</v>
      </c>
      <c r="B20" s="17" t="s">
        <v>12</v>
      </c>
      <c r="C20" s="18"/>
      <c r="D20" s="17"/>
      <c r="E20" s="17"/>
      <c r="F20" s="53">
        <f t="shared" ref="F20" si="27">SUM(F21:F23)</f>
        <v>0</v>
      </c>
      <c r="G20" s="53"/>
      <c r="H20" s="53">
        <f t="shared" ref="H20:J20" si="28">SUM(H21:H23)</f>
        <v>0</v>
      </c>
      <c r="I20" s="53">
        <f t="shared" si="28"/>
        <v>0</v>
      </c>
      <c r="J20" s="53">
        <f t="shared" si="28"/>
        <v>0</v>
      </c>
      <c r="K20" s="53">
        <f t="shared" ref="K20:M20" si="29">SUM(K21:K23)</f>
        <v>0</v>
      </c>
      <c r="L20" s="53">
        <f t="shared" si="29"/>
        <v>0</v>
      </c>
      <c r="M20" s="53">
        <f t="shared" si="29"/>
        <v>0</v>
      </c>
    </row>
    <row r="21" spans="1:13" outlineLevel="7">
      <c r="A21" s="4" t="s">
        <v>14</v>
      </c>
      <c r="B21" s="19" t="s">
        <v>12</v>
      </c>
      <c r="C21" s="20" t="s">
        <v>87</v>
      </c>
      <c r="D21" s="19" t="s">
        <v>15</v>
      </c>
      <c r="E21" s="19" t="s">
        <v>52</v>
      </c>
      <c r="F21" s="54"/>
      <c r="G21" s="54"/>
      <c r="H21" s="54"/>
      <c r="I21" s="54"/>
      <c r="J21" s="54"/>
      <c r="K21" s="54"/>
      <c r="L21" s="54"/>
      <c r="M21" s="54"/>
    </row>
    <row r="22" spans="1:13" outlineLevel="7">
      <c r="A22" s="4" t="s">
        <v>88</v>
      </c>
      <c r="B22" s="19" t="s">
        <v>12</v>
      </c>
      <c r="C22" s="20" t="s">
        <v>89</v>
      </c>
      <c r="D22" s="19" t="s">
        <v>20</v>
      </c>
      <c r="E22" s="19" t="s">
        <v>52</v>
      </c>
      <c r="F22" s="54"/>
      <c r="G22" s="54"/>
      <c r="H22" s="54"/>
      <c r="I22" s="54"/>
      <c r="J22" s="54"/>
      <c r="K22" s="54"/>
      <c r="L22" s="54"/>
      <c r="M22" s="54"/>
    </row>
    <row r="23" spans="1:13" outlineLevel="7">
      <c r="A23" s="4" t="s">
        <v>16</v>
      </c>
      <c r="B23" s="19" t="s">
        <v>12</v>
      </c>
      <c r="C23" s="20" t="s">
        <v>89</v>
      </c>
      <c r="D23" s="19" t="s">
        <v>21</v>
      </c>
      <c r="E23" s="19" t="s">
        <v>52</v>
      </c>
      <c r="F23" s="54"/>
      <c r="G23" s="54"/>
      <c r="H23" s="54"/>
      <c r="I23" s="54"/>
      <c r="J23" s="54"/>
      <c r="K23" s="54"/>
      <c r="L23" s="54"/>
      <c r="M23" s="54"/>
    </row>
    <row r="24" spans="1:13" outlineLevel="4">
      <c r="A24" s="3" t="s">
        <v>91</v>
      </c>
      <c r="B24" s="17" t="s">
        <v>17</v>
      </c>
      <c r="C24" s="21" t="s">
        <v>90</v>
      </c>
      <c r="D24" s="17" t="s">
        <v>13</v>
      </c>
      <c r="E24" s="19"/>
      <c r="F24" s="53">
        <f t="shared" ref="F24" si="30">SUM(F25:F26)</f>
        <v>550516</v>
      </c>
      <c r="G24" s="53">
        <f t="shared" ref="G24" si="31">SUM(G25:G26)</f>
        <v>579416</v>
      </c>
      <c r="H24" s="53">
        <f t="shared" ref="H24:J24" si="32">SUM(H25:H26)</f>
        <v>603040</v>
      </c>
      <c r="I24" s="53">
        <f t="shared" si="32"/>
        <v>603040</v>
      </c>
      <c r="J24" s="53">
        <f t="shared" si="32"/>
        <v>603040</v>
      </c>
      <c r="K24" s="53">
        <f t="shared" ref="K24:M24" si="33">SUM(K25:K26)</f>
        <v>603040</v>
      </c>
      <c r="L24" s="53">
        <f t="shared" si="33"/>
        <v>603040</v>
      </c>
      <c r="M24" s="53">
        <f t="shared" si="33"/>
        <v>603040</v>
      </c>
    </row>
    <row r="25" spans="1:13" outlineLevel="7">
      <c r="A25" s="171" t="s">
        <v>238</v>
      </c>
      <c r="B25" s="155" t="s">
        <v>17</v>
      </c>
      <c r="C25" s="156" t="s">
        <v>90</v>
      </c>
      <c r="D25" s="155" t="s">
        <v>18</v>
      </c>
      <c r="E25" s="155" t="s">
        <v>52</v>
      </c>
      <c r="F25" s="54">
        <v>422823</v>
      </c>
      <c r="G25" s="54">
        <v>445020</v>
      </c>
      <c r="H25" s="54">
        <v>463164</v>
      </c>
      <c r="I25" s="54">
        <v>463164</v>
      </c>
      <c r="J25" s="54">
        <v>463164</v>
      </c>
      <c r="K25" s="54">
        <v>463164</v>
      </c>
      <c r="L25" s="54">
        <v>463164</v>
      </c>
      <c r="M25" s="54">
        <v>463164</v>
      </c>
    </row>
    <row r="26" spans="1:13" outlineLevel="7">
      <c r="A26" s="171" t="s">
        <v>73</v>
      </c>
      <c r="B26" s="155" t="s">
        <v>17</v>
      </c>
      <c r="C26" s="156" t="s">
        <v>90</v>
      </c>
      <c r="D26" s="155" t="s">
        <v>53</v>
      </c>
      <c r="E26" s="155" t="s">
        <v>52</v>
      </c>
      <c r="F26" s="56">
        <v>127693</v>
      </c>
      <c r="G26" s="56">
        <v>134396</v>
      </c>
      <c r="H26" s="56">
        <v>139876</v>
      </c>
      <c r="I26" s="56">
        <v>139876</v>
      </c>
      <c r="J26" s="56">
        <v>139876</v>
      </c>
      <c r="K26" s="56">
        <v>139876</v>
      </c>
      <c r="L26" s="56">
        <v>139876</v>
      </c>
      <c r="M26" s="56">
        <v>139876</v>
      </c>
    </row>
    <row r="27" spans="1:13" ht="25.5" outlineLevel="4">
      <c r="A27" s="3" t="s">
        <v>93</v>
      </c>
      <c r="B27" s="123" t="s">
        <v>17</v>
      </c>
      <c r="C27" s="157" t="s">
        <v>92</v>
      </c>
      <c r="D27" s="123" t="s">
        <v>13</v>
      </c>
      <c r="E27" s="123"/>
      <c r="F27" s="53">
        <f t="shared" ref="F27:J27" si="34">F28+F29+F30+F34+F41+F55+F59+F60</f>
        <v>883665</v>
      </c>
      <c r="G27" s="53">
        <f t="shared" si="34"/>
        <v>1339022</v>
      </c>
      <c r="H27" s="53">
        <f t="shared" si="34"/>
        <v>1592630</v>
      </c>
      <c r="I27" s="53">
        <f t="shared" si="34"/>
        <v>969442</v>
      </c>
      <c r="J27" s="53">
        <f t="shared" si="34"/>
        <v>969442</v>
      </c>
      <c r="K27" s="53">
        <f t="shared" ref="K27:M27" si="35">K28+K29+K30+K34+K41+K55+K59+K60</f>
        <v>900196</v>
      </c>
      <c r="L27" s="53">
        <f t="shared" si="35"/>
        <v>887042</v>
      </c>
      <c r="M27" s="53">
        <f t="shared" si="35"/>
        <v>804742</v>
      </c>
    </row>
    <row r="28" spans="1:13" outlineLevel="7">
      <c r="A28" s="171" t="s">
        <v>239</v>
      </c>
      <c r="B28" s="155" t="s">
        <v>17</v>
      </c>
      <c r="C28" s="156" t="s">
        <v>92</v>
      </c>
      <c r="D28" s="155" t="s">
        <v>18</v>
      </c>
      <c r="E28" s="155" t="s">
        <v>52</v>
      </c>
      <c r="F28" s="56">
        <v>407487</v>
      </c>
      <c r="G28" s="56">
        <v>430465</v>
      </c>
      <c r="H28" s="218">
        <v>442835</v>
      </c>
      <c r="I28" s="218">
        <v>442835</v>
      </c>
      <c r="J28" s="218">
        <v>442835</v>
      </c>
      <c r="K28" s="218">
        <v>452529</v>
      </c>
      <c r="L28" s="218">
        <v>452529</v>
      </c>
      <c r="M28" s="218">
        <v>452529</v>
      </c>
    </row>
    <row r="29" spans="1:13" outlineLevel="7">
      <c r="A29" s="171" t="s">
        <v>51</v>
      </c>
      <c r="B29" s="155" t="s">
        <v>17</v>
      </c>
      <c r="C29" s="156" t="s">
        <v>92</v>
      </c>
      <c r="D29" s="155" t="s">
        <v>53</v>
      </c>
      <c r="E29" s="155" t="s">
        <v>52</v>
      </c>
      <c r="F29" s="56">
        <v>123061</v>
      </c>
      <c r="G29" s="56">
        <v>130000</v>
      </c>
      <c r="H29" s="218">
        <v>133736</v>
      </c>
      <c r="I29" s="218">
        <v>133736</v>
      </c>
      <c r="J29" s="218">
        <v>133736</v>
      </c>
      <c r="K29" s="218">
        <v>136664</v>
      </c>
      <c r="L29" s="218">
        <v>136664</v>
      </c>
      <c r="M29" s="218">
        <v>136664</v>
      </c>
    </row>
    <row r="30" spans="1:13" outlineLevel="7">
      <c r="A30" s="4"/>
      <c r="B30" s="155" t="s">
        <v>17</v>
      </c>
      <c r="C30" s="156" t="s">
        <v>92</v>
      </c>
      <c r="D30" s="155" t="s">
        <v>19</v>
      </c>
      <c r="E30" s="155" t="s">
        <v>52</v>
      </c>
      <c r="F30" s="56">
        <f t="shared" ref="F30" si="36">SUM(F31:F32)</f>
        <v>0</v>
      </c>
      <c r="G30" s="56">
        <f>SUM(G31:G33)</f>
        <v>101760</v>
      </c>
      <c r="H30" s="56">
        <f t="shared" ref="H30:J30" si="37">SUM(H31:H32)</f>
        <v>0</v>
      </c>
      <c r="I30" s="56">
        <f t="shared" si="37"/>
        <v>0</v>
      </c>
      <c r="J30" s="56">
        <f t="shared" si="37"/>
        <v>0</v>
      </c>
      <c r="K30" s="56">
        <f t="shared" ref="K30:M30" si="38">SUM(K31:K32)</f>
        <v>0</v>
      </c>
      <c r="L30" s="56">
        <f t="shared" si="38"/>
        <v>0</v>
      </c>
      <c r="M30" s="56">
        <f t="shared" si="38"/>
        <v>0</v>
      </c>
    </row>
    <row r="31" spans="1:13" ht="25.5" outlineLevel="7">
      <c r="A31" s="8" t="s">
        <v>187</v>
      </c>
      <c r="B31" s="22"/>
      <c r="C31" s="30"/>
      <c r="D31" s="22"/>
      <c r="E31" s="22"/>
      <c r="F31" s="57"/>
      <c r="G31" s="57"/>
      <c r="H31" s="57"/>
      <c r="I31" s="57"/>
      <c r="J31" s="57"/>
      <c r="K31" s="57"/>
      <c r="L31" s="57"/>
      <c r="M31" s="57"/>
    </row>
    <row r="32" spans="1:13" outlineLevel="7">
      <c r="A32" s="8" t="s">
        <v>247</v>
      </c>
      <c r="B32" s="22"/>
      <c r="C32" s="30"/>
      <c r="D32" s="22"/>
      <c r="E32" s="22"/>
      <c r="F32" s="57"/>
      <c r="G32" s="57">
        <v>50880</v>
      </c>
      <c r="H32" s="57"/>
      <c r="I32" s="57"/>
      <c r="J32" s="57"/>
      <c r="K32" s="57"/>
      <c r="L32" s="57"/>
      <c r="M32" s="57"/>
    </row>
    <row r="33" spans="1:13" outlineLevel="7">
      <c r="A33" s="8" t="s">
        <v>221</v>
      </c>
      <c r="B33" s="22"/>
      <c r="C33" s="30"/>
      <c r="D33" s="22"/>
      <c r="E33" s="22"/>
      <c r="F33" s="57"/>
      <c r="G33" s="57">
        <f>101760-SUM(G31:G32)</f>
        <v>50880</v>
      </c>
      <c r="H33" s="57"/>
      <c r="I33" s="57"/>
      <c r="J33" s="57"/>
      <c r="K33" s="57"/>
      <c r="L33" s="57"/>
      <c r="M33" s="57"/>
    </row>
    <row r="34" spans="1:13" ht="25.5" outlineLevel="5">
      <c r="A34" s="4" t="s">
        <v>68</v>
      </c>
      <c r="B34" s="19" t="s">
        <v>17</v>
      </c>
      <c r="C34" s="70" t="s">
        <v>92</v>
      </c>
      <c r="D34" s="19" t="s">
        <v>20</v>
      </c>
      <c r="E34" s="19" t="s">
        <v>52</v>
      </c>
      <c r="F34" s="56">
        <f t="shared" ref="F34" si="39">SUM(F35:F40)</f>
        <v>58200</v>
      </c>
      <c r="G34" s="56">
        <f t="shared" ref="G34" si="40">SUM(G35:G40)</f>
        <v>58200</v>
      </c>
      <c r="H34" s="56">
        <f t="shared" ref="H34:J34" si="41">SUM(H35:H40)</f>
        <v>91473</v>
      </c>
      <c r="I34" s="56">
        <f t="shared" si="41"/>
        <v>56473</v>
      </c>
      <c r="J34" s="56">
        <f t="shared" si="41"/>
        <v>56473</v>
      </c>
      <c r="K34" s="56">
        <f t="shared" ref="K34:M34" si="42">SUM(K35:K40)</f>
        <v>87505</v>
      </c>
      <c r="L34" s="56">
        <f t="shared" si="42"/>
        <v>56473</v>
      </c>
      <c r="M34" s="56">
        <f t="shared" si="42"/>
        <v>56473</v>
      </c>
    </row>
    <row r="35" spans="1:13" ht="25.5" outlineLevel="7">
      <c r="A35" s="9" t="s">
        <v>159</v>
      </c>
      <c r="B35" s="22"/>
      <c r="C35" s="23"/>
      <c r="D35" s="22"/>
      <c r="E35" s="22"/>
      <c r="F35" s="57">
        <v>12000</v>
      </c>
      <c r="G35" s="57">
        <v>11315.75</v>
      </c>
      <c r="H35" s="57">
        <v>16968</v>
      </c>
      <c r="I35" s="57">
        <v>16968</v>
      </c>
      <c r="J35" s="57">
        <v>16968</v>
      </c>
      <c r="K35" s="57">
        <v>13000</v>
      </c>
      <c r="L35" s="57">
        <v>16968</v>
      </c>
      <c r="M35" s="57">
        <v>16968</v>
      </c>
    </row>
    <row r="36" spans="1:13" ht="16.5" customHeight="1" outlineLevel="7">
      <c r="A36" s="9" t="s">
        <v>248</v>
      </c>
      <c r="B36" s="24"/>
      <c r="C36" s="25"/>
      <c r="D36" s="24"/>
      <c r="E36" s="24"/>
      <c r="F36" s="57">
        <v>7000</v>
      </c>
      <c r="G36" s="57">
        <f>1509</f>
        <v>1509</v>
      </c>
      <c r="H36" s="57">
        <v>7545</v>
      </c>
      <c r="I36" s="57">
        <v>7545</v>
      </c>
      <c r="J36" s="57">
        <v>7545</v>
      </c>
      <c r="K36" s="57">
        <v>7545</v>
      </c>
      <c r="L36" s="57">
        <v>7545</v>
      </c>
      <c r="M36" s="57">
        <v>7545</v>
      </c>
    </row>
    <row r="37" spans="1:13" outlineLevel="7">
      <c r="A37" s="8" t="s">
        <v>252</v>
      </c>
      <c r="B37" s="22"/>
      <c r="C37" s="23"/>
      <c r="D37" s="22"/>
      <c r="E37" s="22"/>
      <c r="F37" s="57"/>
      <c r="G37" s="57"/>
      <c r="H37" s="57">
        <v>35000</v>
      </c>
      <c r="I37" s="57"/>
      <c r="J37" s="57"/>
      <c r="K37" s="57">
        <v>35000</v>
      </c>
      <c r="L37" s="57"/>
      <c r="M37" s="57"/>
    </row>
    <row r="38" spans="1:13" ht="25.5" outlineLevel="7">
      <c r="A38" s="9" t="s">
        <v>254</v>
      </c>
      <c r="B38" s="22"/>
      <c r="C38" s="23"/>
      <c r="D38" s="22"/>
      <c r="E38" s="22"/>
      <c r="F38" s="57"/>
      <c r="G38" s="57"/>
      <c r="H38" s="57">
        <v>15460</v>
      </c>
      <c r="I38" s="57">
        <v>15460</v>
      </c>
      <c r="J38" s="57">
        <v>15460</v>
      </c>
      <c r="K38" s="57">
        <v>15460</v>
      </c>
      <c r="L38" s="57">
        <v>15460</v>
      </c>
      <c r="M38" s="57">
        <v>15460</v>
      </c>
    </row>
    <row r="39" spans="1:13" ht="25.5" outlineLevel="7">
      <c r="A39" s="9" t="s">
        <v>195</v>
      </c>
      <c r="B39" s="22"/>
      <c r="C39" s="23"/>
      <c r="D39" s="22"/>
      <c r="E39" s="22"/>
      <c r="F39" s="57">
        <v>39200</v>
      </c>
      <c r="G39" s="57">
        <f>15460</f>
        <v>15460</v>
      </c>
      <c r="H39" s="57">
        <f>16500</f>
        <v>16500</v>
      </c>
      <c r="I39" s="57">
        <f>16500</f>
        <v>16500</v>
      </c>
      <c r="J39" s="57">
        <f>16500</f>
        <v>16500</v>
      </c>
      <c r="K39" s="57">
        <f>16500</f>
        <v>16500</v>
      </c>
      <c r="L39" s="57">
        <f>16500</f>
        <v>16500</v>
      </c>
      <c r="M39" s="57">
        <f>16500</f>
        <v>16500</v>
      </c>
    </row>
    <row r="40" spans="1:13" ht="15" customHeight="1" outlineLevel="7">
      <c r="A40" s="9" t="s">
        <v>221</v>
      </c>
      <c r="B40" s="22"/>
      <c r="C40" s="23"/>
      <c r="D40" s="22"/>
      <c r="E40" s="22"/>
      <c r="F40" s="57"/>
      <c r="G40" s="57">
        <f>58200-SUM(G35:G39)</f>
        <v>29915.25</v>
      </c>
      <c r="H40" s="57"/>
      <c r="I40" s="57"/>
      <c r="J40" s="57"/>
      <c r="K40" s="57"/>
      <c r="L40" s="57"/>
      <c r="M40" s="57"/>
    </row>
    <row r="41" spans="1:13" outlineLevel="5">
      <c r="A41" s="4" t="s">
        <v>76</v>
      </c>
      <c r="B41" s="19" t="s">
        <v>17</v>
      </c>
      <c r="C41" s="70" t="s">
        <v>92</v>
      </c>
      <c r="D41" s="19" t="s">
        <v>21</v>
      </c>
      <c r="E41" s="19" t="s">
        <v>52</v>
      </c>
      <c r="F41" s="59">
        <f t="shared" ref="F41" si="43">SUM(F42:F54)</f>
        <v>234995</v>
      </c>
      <c r="G41" s="59">
        <f t="shared" ref="G41:J41" si="44">SUM(G42:G54)</f>
        <v>558675</v>
      </c>
      <c r="H41" s="59">
        <f t="shared" si="44"/>
        <v>845782</v>
      </c>
      <c r="I41" s="59">
        <f t="shared" si="44"/>
        <v>257594</v>
      </c>
      <c r="J41" s="59">
        <f t="shared" si="44"/>
        <v>257594</v>
      </c>
      <c r="K41" s="59">
        <f t="shared" ref="K41:M41" si="45">SUM(K42:K54)</f>
        <v>187694</v>
      </c>
      <c r="L41" s="59">
        <f t="shared" si="45"/>
        <v>175194</v>
      </c>
      <c r="M41" s="59">
        <f t="shared" si="45"/>
        <v>92894</v>
      </c>
    </row>
    <row r="42" spans="1:13" outlineLevel="5">
      <c r="A42" s="8" t="s">
        <v>22</v>
      </c>
      <c r="B42" s="22"/>
      <c r="C42" s="23"/>
      <c r="D42" s="22"/>
      <c r="E42" s="22"/>
      <c r="F42" s="58">
        <v>1000</v>
      </c>
      <c r="G42" s="58"/>
      <c r="H42" s="58">
        <v>3000</v>
      </c>
      <c r="I42" s="58">
        <v>3000</v>
      </c>
      <c r="J42" s="58">
        <v>3000</v>
      </c>
      <c r="K42" s="58">
        <v>0</v>
      </c>
      <c r="L42" s="58">
        <v>3000</v>
      </c>
      <c r="M42" s="58">
        <v>3000</v>
      </c>
    </row>
    <row r="43" spans="1:13" ht="25.5" outlineLevel="7">
      <c r="A43" s="8" t="s">
        <v>222</v>
      </c>
      <c r="B43" s="22"/>
      <c r="C43" s="30"/>
      <c r="D43" s="22"/>
      <c r="E43" s="22"/>
      <c r="F43" s="58">
        <f t="shared" ref="F43:M43" si="46">15000+6000</f>
        <v>21000</v>
      </c>
      <c r="G43" s="58">
        <f t="shared" si="46"/>
        <v>21000</v>
      </c>
      <c r="H43" s="58">
        <f t="shared" si="46"/>
        <v>21000</v>
      </c>
      <c r="I43" s="58">
        <f t="shared" si="46"/>
        <v>21000</v>
      </c>
      <c r="J43" s="58">
        <f t="shared" si="46"/>
        <v>21000</v>
      </c>
      <c r="K43" s="58">
        <f t="shared" si="46"/>
        <v>21000</v>
      </c>
      <c r="L43" s="58">
        <f t="shared" si="46"/>
        <v>21000</v>
      </c>
      <c r="M43" s="58">
        <f t="shared" si="46"/>
        <v>21000</v>
      </c>
    </row>
    <row r="44" spans="1:13" outlineLevel="7">
      <c r="A44" s="10" t="s">
        <v>257</v>
      </c>
      <c r="B44" s="26"/>
      <c r="C44" s="27"/>
      <c r="D44" s="26"/>
      <c r="E44" s="26"/>
      <c r="F44" s="58">
        <v>10995</v>
      </c>
      <c r="G44" s="58"/>
      <c r="H44" s="58">
        <v>10994</v>
      </c>
      <c r="I44" s="58">
        <v>10994</v>
      </c>
      <c r="J44" s="58">
        <v>10994</v>
      </c>
      <c r="K44" s="58">
        <v>10994</v>
      </c>
      <c r="L44" s="58">
        <v>10994</v>
      </c>
      <c r="M44" s="58">
        <v>10994</v>
      </c>
    </row>
    <row r="45" spans="1:13" outlineLevel="7">
      <c r="A45" s="10" t="s">
        <v>232</v>
      </c>
      <c r="B45" s="26"/>
      <c r="C45" s="27"/>
      <c r="D45" s="26"/>
      <c r="E45" s="26"/>
      <c r="F45" s="58">
        <v>6000</v>
      </c>
      <c r="G45" s="58"/>
      <c r="H45" s="58">
        <f>6900</f>
        <v>6900</v>
      </c>
      <c r="I45" s="58">
        <v>6900</v>
      </c>
      <c r="J45" s="58">
        <v>6900</v>
      </c>
      <c r="K45" s="58">
        <v>0</v>
      </c>
      <c r="L45" s="58">
        <v>6900</v>
      </c>
      <c r="M45" s="58">
        <v>6900</v>
      </c>
    </row>
    <row r="46" spans="1:13" ht="25.5" outlineLevel="7">
      <c r="A46" s="217" t="s">
        <v>253</v>
      </c>
      <c r="B46" s="26"/>
      <c r="C46" s="27"/>
      <c r="D46" s="26"/>
      <c r="E46" s="26"/>
      <c r="F46" s="58">
        <v>16000</v>
      </c>
      <c r="G46" s="58"/>
      <c r="H46" s="58">
        <v>14700</v>
      </c>
      <c r="I46" s="58">
        <v>14700</v>
      </c>
      <c r="J46" s="58">
        <v>14700</v>
      </c>
      <c r="K46" s="58">
        <v>14700</v>
      </c>
      <c r="L46" s="58">
        <v>14700</v>
      </c>
      <c r="M46" s="58">
        <v>14700</v>
      </c>
    </row>
    <row r="47" spans="1:13" outlineLevel="7">
      <c r="A47" s="11" t="s">
        <v>245</v>
      </c>
      <c r="B47" s="26"/>
      <c r="C47" s="27"/>
      <c r="D47" s="26"/>
      <c r="E47" s="26"/>
      <c r="F47" s="58"/>
      <c r="G47" s="58">
        <v>400000</v>
      </c>
      <c r="H47" s="58">
        <v>522188</v>
      </c>
      <c r="I47" s="58"/>
      <c r="J47" s="58"/>
      <c r="K47" s="58">
        <v>0</v>
      </c>
      <c r="L47" s="58"/>
      <c r="M47" s="58"/>
    </row>
    <row r="48" spans="1:13" outlineLevel="7">
      <c r="A48" s="11" t="s">
        <v>231</v>
      </c>
      <c r="B48" s="26"/>
      <c r="C48" s="27"/>
      <c r="D48" s="26"/>
      <c r="E48" s="26"/>
      <c r="F48" s="58"/>
      <c r="G48" s="58"/>
      <c r="H48" s="58">
        <v>66000</v>
      </c>
      <c r="I48" s="58"/>
      <c r="J48" s="58"/>
      <c r="K48" s="58">
        <v>0</v>
      </c>
      <c r="L48" s="58"/>
      <c r="M48" s="58"/>
    </row>
    <row r="49" spans="1:13" outlineLevel="7">
      <c r="A49" s="11" t="s">
        <v>196</v>
      </c>
      <c r="B49" s="26"/>
      <c r="C49" s="27"/>
      <c r="D49" s="26"/>
      <c r="E49" s="26"/>
      <c r="F49" s="58">
        <v>15000</v>
      </c>
      <c r="G49" s="58">
        <f>18526</f>
        <v>18526</v>
      </c>
      <c r="H49" s="58"/>
      <c r="I49" s="58"/>
      <c r="J49" s="58"/>
      <c r="K49" s="58"/>
      <c r="L49" s="58"/>
      <c r="M49" s="58"/>
    </row>
    <row r="50" spans="1:13" outlineLevel="7">
      <c r="A50" s="10" t="s">
        <v>156</v>
      </c>
      <c r="B50" s="26"/>
      <c r="C50" s="27"/>
      <c r="D50" s="26"/>
      <c r="E50" s="26"/>
      <c r="F50" s="58">
        <v>5000</v>
      </c>
      <c r="G50" s="58">
        <f>1116.35</f>
        <v>1116.3499999999999</v>
      </c>
      <c r="H50" s="58">
        <v>6000</v>
      </c>
      <c r="I50" s="58">
        <v>6000</v>
      </c>
      <c r="J50" s="58">
        <v>6000</v>
      </c>
      <c r="K50" s="58">
        <v>6000</v>
      </c>
      <c r="L50" s="58">
        <v>6000</v>
      </c>
      <c r="M50" s="58">
        <v>6000</v>
      </c>
    </row>
    <row r="51" spans="1:13" outlineLevel="7">
      <c r="A51" s="8" t="s">
        <v>23</v>
      </c>
      <c r="B51" s="22"/>
      <c r="C51" s="23"/>
      <c r="D51" s="22"/>
      <c r="E51" s="22"/>
      <c r="F51" s="58">
        <v>10000</v>
      </c>
      <c r="G51" s="58"/>
      <c r="H51" s="58">
        <v>15000</v>
      </c>
      <c r="I51" s="58">
        <v>15000</v>
      </c>
      <c r="J51" s="58">
        <v>15000</v>
      </c>
      <c r="K51" s="58">
        <v>0</v>
      </c>
      <c r="L51" s="58">
        <v>15000</v>
      </c>
      <c r="M51" s="58">
        <v>15000</v>
      </c>
    </row>
    <row r="52" spans="1:13" outlineLevel="7">
      <c r="A52" s="8" t="s">
        <v>256</v>
      </c>
      <c r="B52" s="22"/>
      <c r="C52" s="23"/>
      <c r="D52" s="22"/>
      <c r="E52" s="22"/>
      <c r="F52" s="58"/>
      <c r="G52" s="58"/>
      <c r="H52" s="58">
        <v>16000</v>
      </c>
      <c r="I52" s="58">
        <v>16000</v>
      </c>
      <c r="J52" s="58">
        <v>16000</v>
      </c>
      <c r="K52" s="58">
        <v>5000</v>
      </c>
      <c r="L52" s="58">
        <v>16000</v>
      </c>
      <c r="M52" s="58">
        <f>16000-700</f>
        <v>15300</v>
      </c>
    </row>
    <row r="53" spans="1:13" outlineLevel="7">
      <c r="A53" s="8" t="s">
        <v>255</v>
      </c>
      <c r="B53" s="22"/>
      <c r="C53" s="23"/>
      <c r="D53" s="22"/>
      <c r="E53" s="22"/>
      <c r="F53" s="58">
        <f>150000</f>
        <v>150000</v>
      </c>
      <c r="G53" s="58">
        <f>110000</f>
        <v>110000</v>
      </c>
      <c r="H53" s="58">
        <f>144000+20000</f>
        <v>164000</v>
      </c>
      <c r="I53" s="58">
        <f t="shared" ref="I53:J53" si="47">144000+20000</f>
        <v>164000</v>
      </c>
      <c r="J53" s="58">
        <f t="shared" si="47"/>
        <v>164000</v>
      </c>
      <c r="K53" s="58">
        <v>130000</v>
      </c>
      <c r="L53" s="58">
        <f>144000+20000-82400</f>
        <v>81600</v>
      </c>
      <c r="M53" s="58">
        <f>144000+20000-164000</f>
        <v>0</v>
      </c>
    </row>
    <row r="54" spans="1:13" outlineLevel="7">
      <c r="A54" s="8" t="s">
        <v>221</v>
      </c>
      <c r="B54" s="22"/>
      <c r="C54" s="184"/>
      <c r="D54" s="22"/>
      <c r="E54" s="22"/>
      <c r="F54" s="58"/>
      <c r="G54" s="58">
        <f>558675-SUM(G42:G53)</f>
        <v>8032.6500000000233</v>
      </c>
      <c r="H54" s="58"/>
      <c r="I54" s="58"/>
      <c r="J54" s="58"/>
      <c r="K54" s="58"/>
      <c r="L54" s="58"/>
      <c r="M54" s="58"/>
    </row>
    <row r="55" spans="1:13" outlineLevel="7">
      <c r="A55" s="11"/>
      <c r="B55" s="19" t="s">
        <v>17</v>
      </c>
      <c r="C55" s="70" t="s">
        <v>92</v>
      </c>
      <c r="D55" s="19" t="s">
        <v>180</v>
      </c>
      <c r="E55" s="19" t="s">
        <v>52</v>
      </c>
      <c r="F55" s="58">
        <f t="shared" ref="F55" si="48">SUM(F56:F58)</f>
        <v>46554</v>
      </c>
      <c r="G55" s="58">
        <f>SUM(G56:G58)</f>
        <v>46554</v>
      </c>
      <c r="H55" s="58">
        <f t="shared" ref="H55:J55" si="49">SUM(H56:H58)</f>
        <v>61000</v>
      </c>
      <c r="I55" s="58">
        <f t="shared" si="49"/>
        <v>61000</v>
      </c>
      <c r="J55" s="58">
        <f t="shared" si="49"/>
        <v>61000</v>
      </c>
      <c r="K55" s="58">
        <f t="shared" ref="K55:M55" si="50">SUM(K56:K58)</f>
        <v>34000</v>
      </c>
      <c r="L55" s="58">
        <f t="shared" si="50"/>
        <v>48378</v>
      </c>
      <c r="M55" s="58">
        <f t="shared" si="50"/>
        <v>48378</v>
      </c>
    </row>
    <row r="56" spans="1:13" outlineLevel="7">
      <c r="A56" s="9" t="s">
        <v>193</v>
      </c>
      <c r="B56" s="22"/>
      <c r="C56" s="23"/>
      <c r="D56" s="22"/>
      <c r="E56" s="22"/>
      <c r="F56" s="58">
        <f>20000-5000</f>
        <v>15000</v>
      </c>
      <c r="G56" s="58">
        <f>12301</f>
        <v>12301</v>
      </c>
      <c r="H56" s="58">
        <v>20000</v>
      </c>
      <c r="I56" s="58">
        <v>20000</v>
      </c>
      <c r="J56" s="58">
        <v>20000</v>
      </c>
      <c r="K56" s="58">
        <v>14000</v>
      </c>
      <c r="L56" s="58">
        <v>20000</v>
      </c>
      <c r="M56" s="58">
        <v>20000</v>
      </c>
    </row>
    <row r="57" spans="1:13" outlineLevel="7">
      <c r="A57" s="11" t="s">
        <v>194</v>
      </c>
      <c r="B57" s="28"/>
      <c r="C57" s="29"/>
      <c r="D57" s="28"/>
      <c r="E57" s="28"/>
      <c r="F57" s="58">
        <f>40000-8446</f>
        <v>31554</v>
      </c>
      <c r="G57" s="58">
        <f>17321.22</f>
        <v>17321.22</v>
      </c>
      <c r="H57" s="58">
        <v>41000</v>
      </c>
      <c r="I57" s="58">
        <v>41000</v>
      </c>
      <c r="J57" s="58">
        <v>41000</v>
      </c>
      <c r="K57" s="58">
        <v>20000</v>
      </c>
      <c r="L57" s="58">
        <f>41000-12622</f>
        <v>28378</v>
      </c>
      <c r="M57" s="58">
        <f>41000-12622</f>
        <v>28378</v>
      </c>
    </row>
    <row r="58" spans="1:13" outlineLevel="7">
      <c r="A58" s="11" t="s">
        <v>221</v>
      </c>
      <c r="B58" s="28"/>
      <c r="C58" s="185"/>
      <c r="D58" s="28"/>
      <c r="E58" s="28"/>
      <c r="F58" s="58"/>
      <c r="G58" s="58">
        <f>46554-SUM(G56:G57)</f>
        <v>16931.78</v>
      </c>
      <c r="H58" s="58"/>
      <c r="I58" s="58"/>
      <c r="J58" s="58"/>
      <c r="K58" s="58"/>
      <c r="L58" s="58"/>
      <c r="M58" s="58"/>
    </row>
    <row r="59" spans="1:13" outlineLevel="7">
      <c r="A59" s="4" t="s">
        <v>79</v>
      </c>
      <c r="B59" s="19" t="s">
        <v>17</v>
      </c>
      <c r="C59" s="70" t="s">
        <v>92</v>
      </c>
      <c r="D59" s="19" t="s">
        <v>24</v>
      </c>
      <c r="E59" s="19" t="s">
        <v>52</v>
      </c>
      <c r="F59" s="56"/>
      <c r="G59" s="56"/>
      <c r="H59" s="56"/>
      <c r="I59" s="56"/>
      <c r="J59" s="56"/>
      <c r="K59" s="56"/>
      <c r="L59" s="56"/>
      <c r="M59" s="56"/>
    </row>
    <row r="60" spans="1:13" outlineLevel="7">
      <c r="A60" s="39"/>
      <c r="B60" s="40" t="s">
        <v>17</v>
      </c>
      <c r="C60" s="70" t="s">
        <v>92</v>
      </c>
      <c r="D60" s="40" t="s">
        <v>26</v>
      </c>
      <c r="E60" s="40" t="s">
        <v>52</v>
      </c>
      <c r="F60" s="60">
        <f t="shared" ref="F60" si="51">SUM(F61:F64)</f>
        <v>13368</v>
      </c>
      <c r="G60" s="60">
        <f>SUM(G61:G64)</f>
        <v>13368</v>
      </c>
      <c r="H60" s="60">
        <f t="shared" ref="H60:J60" si="52">SUM(H61:H64)</f>
        <v>17804</v>
      </c>
      <c r="I60" s="60">
        <f t="shared" si="52"/>
        <v>17804</v>
      </c>
      <c r="J60" s="60">
        <f t="shared" si="52"/>
        <v>17804</v>
      </c>
      <c r="K60" s="60">
        <f t="shared" ref="K60:M60" si="53">SUM(K61:K64)</f>
        <v>1804</v>
      </c>
      <c r="L60" s="60">
        <f t="shared" si="53"/>
        <v>17804</v>
      </c>
      <c r="M60" s="60">
        <f t="shared" si="53"/>
        <v>17804</v>
      </c>
    </row>
    <row r="61" spans="1:13" outlineLevel="7">
      <c r="A61" s="44" t="s">
        <v>25</v>
      </c>
      <c r="B61" s="45"/>
      <c r="C61" s="30"/>
      <c r="D61" s="45"/>
      <c r="E61" s="45"/>
      <c r="F61" s="61">
        <v>1368</v>
      </c>
      <c r="G61" s="61">
        <v>1804</v>
      </c>
      <c r="H61" s="61">
        <v>1804</v>
      </c>
      <c r="I61" s="61">
        <v>1804</v>
      </c>
      <c r="J61" s="61">
        <v>1804</v>
      </c>
      <c r="K61" s="61">
        <v>1804</v>
      </c>
      <c r="L61" s="61">
        <v>1804</v>
      </c>
      <c r="M61" s="61">
        <v>1804</v>
      </c>
    </row>
    <row r="62" spans="1:13" outlineLevel="7">
      <c r="A62" s="44" t="s">
        <v>80</v>
      </c>
      <c r="B62" s="45"/>
      <c r="C62" s="30"/>
      <c r="D62" s="45"/>
      <c r="E62" s="45"/>
      <c r="F62" s="61">
        <v>1000</v>
      </c>
      <c r="G62" s="61"/>
      <c r="H62" s="61"/>
      <c r="I62" s="61"/>
      <c r="J62" s="61"/>
      <c r="K62" s="61"/>
      <c r="L62" s="61"/>
      <c r="M62" s="61"/>
    </row>
    <row r="63" spans="1:13" outlineLevel="7">
      <c r="A63" s="44" t="s">
        <v>83</v>
      </c>
      <c r="B63" s="45"/>
      <c r="C63" s="30"/>
      <c r="D63" s="45"/>
      <c r="E63" s="45"/>
      <c r="F63" s="61">
        <v>11000</v>
      </c>
      <c r="G63" s="61"/>
      <c r="H63" s="61">
        <v>16000</v>
      </c>
      <c r="I63" s="61">
        <v>16000</v>
      </c>
      <c r="J63" s="61">
        <v>16000</v>
      </c>
      <c r="K63" s="61">
        <v>0</v>
      </c>
      <c r="L63" s="61">
        <v>16000</v>
      </c>
      <c r="M63" s="61">
        <v>16000</v>
      </c>
    </row>
    <row r="64" spans="1:13" outlineLevel="7">
      <c r="A64" s="44" t="s">
        <v>221</v>
      </c>
      <c r="B64" s="45"/>
      <c r="C64" s="30"/>
      <c r="D64" s="45"/>
      <c r="E64" s="45"/>
      <c r="F64" s="61"/>
      <c r="G64" s="61">
        <f>13368-SUM(G61:G63)</f>
        <v>11564</v>
      </c>
      <c r="H64" s="61"/>
      <c r="I64" s="61"/>
      <c r="J64" s="61"/>
      <c r="K64" s="61"/>
      <c r="L64" s="61"/>
      <c r="M64" s="61"/>
    </row>
    <row r="65" spans="1:13" ht="25.5" outlineLevel="7">
      <c r="A65" s="187" t="s">
        <v>40</v>
      </c>
      <c r="B65" s="188"/>
      <c r="C65" s="189"/>
      <c r="D65" s="190"/>
      <c r="E65" s="190"/>
      <c r="F65" s="191">
        <f t="shared" ref="F65" si="54">SUM(F66:F72)</f>
        <v>908738</v>
      </c>
      <c r="G65" s="191">
        <f t="shared" ref="G65" si="55">SUM(G66:G72)</f>
        <v>920537</v>
      </c>
      <c r="H65" s="191">
        <f t="shared" ref="H65:J65" si="56">SUM(H66:H72)</f>
        <v>1599217</v>
      </c>
      <c r="I65" s="191">
        <f t="shared" si="56"/>
        <v>887035</v>
      </c>
      <c r="J65" s="191">
        <f t="shared" si="56"/>
        <v>906456</v>
      </c>
      <c r="K65" s="191">
        <f t="shared" ref="K65:M65" si="57">SUM(K66:K72)</f>
        <v>1403527</v>
      </c>
      <c r="L65" s="191">
        <f t="shared" si="57"/>
        <v>887035</v>
      </c>
      <c r="M65" s="191">
        <f t="shared" si="57"/>
        <v>906456</v>
      </c>
    </row>
    <row r="66" spans="1:13" ht="38.25" outlineLevel="7">
      <c r="A66" s="8" t="s">
        <v>112</v>
      </c>
      <c r="B66" s="22" t="s">
        <v>42</v>
      </c>
      <c r="C66" s="30" t="s">
        <v>99</v>
      </c>
      <c r="D66" s="22" t="s">
        <v>41</v>
      </c>
      <c r="E66" s="22" t="s">
        <v>52</v>
      </c>
      <c r="F66" s="57">
        <v>61579</v>
      </c>
      <c r="G66" s="57">
        <v>63701</v>
      </c>
      <c r="H66" s="57">
        <v>70790</v>
      </c>
      <c r="I66" s="57">
        <v>70399</v>
      </c>
      <c r="J66" s="57">
        <v>70509</v>
      </c>
      <c r="K66" s="57">
        <v>63701</v>
      </c>
      <c r="L66" s="57">
        <v>70399</v>
      </c>
      <c r="M66" s="57">
        <v>70509</v>
      </c>
    </row>
    <row r="67" spans="1:13" ht="38.25" outlineLevel="7">
      <c r="A67" s="8" t="s">
        <v>113</v>
      </c>
      <c r="B67" s="22" t="s">
        <v>30</v>
      </c>
      <c r="C67" s="30" t="s">
        <v>99</v>
      </c>
      <c r="D67" s="22" t="s">
        <v>41</v>
      </c>
      <c r="E67" s="22" t="s">
        <v>52</v>
      </c>
      <c r="F67" s="57">
        <v>207121</v>
      </c>
      <c r="G67" s="57">
        <v>214847</v>
      </c>
      <c r="H67" s="57">
        <v>276601</v>
      </c>
      <c r="I67" s="57">
        <v>258413</v>
      </c>
      <c r="J67" s="57">
        <v>258413</v>
      </c>
      <c r="K67" s="57">
        <v>215000</v>
      </c>
      <c r="L67" s="57">
        <v>258413</v>
      </c>
      <c r="M67" s="57">
        <v>258413</v>
      </c>
    </row>
    <row r="68" spans="1:13" ht="25.5" outlineLevel="7">
      <c r="A68" s="8" t="s">
        <v>70</v>
      </c>
      <c r="B68" s="22" t="s">
        <v>30</v>
      </c>
      <c r="C68" s="30" t="s">
        <v>100</v>
      </c>
      <c r="D68" s="22" t="s">
        <v>41</v>
      </c>
      <c r="E68" s="22" t="s">
        <v>52</v>
      </c>
      <c r="F68" s="57">
        <v>31615</v>
      </c>
      <c r="G68" s="57">
        <v>32939</v>
      </c>
      <c r="H68" s="57">
        <v>32271</v>
      </c>
      <c r="I68" s="57">
        <v>32271</v>
      </c>
      <c r="J68" s="57">
        <v>32271</v>
      </c>
      <c r="K68" s="57">
        <v>32271</v>
      </c>
      <c r="L68" s="57">
        <v>32271</v>
      </c>
      <c r="M68" s="57">
        <v>32271</v>
      </c>
    </row>
    <row r="69" spans="1:13" ht="38.25" outlineLevel="7">
      <c r="A69" s="8" t="s">
        <v>114</v>
      </c>
      <c r="B69" s="22" t="s">
        <v>30</v>
      </c>
      <c r="C69" s="30" t="s">
        <v>101</v>
      </c>
      <c r="D69" s="22" t="s">
        <v>41</v>
      </c>
      <c r="E69" s="22" t="s">
        <v>52</v>
      </c>
      <c r="F69" s="57">
        <v>5648</v>
      </c>
      <c r="G69" s="57">
        <v>5813</v>
      </c>
      <c r="H69" s="57">
        <v>4600</v>
      </c>
      <c r="I69" s="57">
        <v>4600</v>
      </c>
      <c r="J69" s="57">
        <v>4600</v>
      </c>
      <c r="K69" s="57">
        <v>4600</v>
      </c>
      <c r="L69" s="57">
        <v>4600</v>
      </c>
      <c r="M69" s="57">
        <v>4600</v>
      </c>
    </row>
    <row r="70" spans="1:13" outlineLevel="7">
      <c r="A70" s="78" t="s">
        <v>78</v>
      </c>
      <c r="B70" s="22" t="s">
        <v>42</v>
      </c>
      <c r="C70" s="30" t="s">
        <v>98</v>
      </c>
      <c r="D70" s="22" t="s">
        <v>41</v>
      </c>
      <c r="E70" s="22" t="s">
        <v>52</v>
      </c>
      <c r="F70" s="57">
        <v>18442</v>
      </c>
      <c r="G70" s="77">
        <v>18904</v>
      </c>
      <c r="H70" s="57">
        <v>15111</v>
      </c>
      <c r="I70" s="57">
        <v>14716</v>
      </c>
      <c r="J70" s="57">
        <v>14716</v>
      </c>
      <c r="K70" s="57">
        <v>15111</v>
      </c>
      <c r="L70" s="57">
        <v>14716</v>
      </c>
      <c r="M70" s="57">
        <v>14716</v>
      </c>
    </row>
    <row r="71" spans="1:13" ht="25.5" outlineLevel="7">
      <c r="A71" s="8" t="s">
        <v>71</v>
      </c>
      <c r="B71" s="22" t="s">
        <v>39</v>
      </c>
      <c r="C71" s="30" t="s">
        <v>102</v>
      </c>
      <c r="D71" s="22" t="s">
        <v>41</v>
      </c>
      <c r="E71" s="22" t="s">
        <v>52</v>
      </c>
      <c r="F71" s="77">
        <v>496143</v>
      </c>
      <c r="G71" s="77">
        <v>496143</v>
      </c>
      <c r="H71" s="77">
        <v>1111644</v>
      </c>
      <c r="I71" s="77">
        <v>418436</v>
      </c>
      <c r="J71" s="77">
        <v>437747</v>
      </c>
      <c r="K71" s="77">
        <f>1111644-97000</f>
        <v>1014644</v>
      </c>
      <c r="L71" s="77">
        <v>418436</v>
      </c>
      <c r="M71" s="77">
        <v>437747</v>
      </c>
    </row>
    <row r="72" spans="1:13" ht="38.25" outlineLevel="7">
      <c r="A72" s="79" t="s">
        <v>72</v>
      </c>
      <c r="B72" s="80" t="s">
        <v>43</v>
      </c>
      <c r="C72" s="81" t="s">
        <v>103</v>
      </c>
      <c r="D72" s="80" t="s">
        <v>41</v>
      </c>
      <c r="E72" s="80" t="s">
        <v>52</v>
      </c>
      <c r="F72" s="77">
        <v>88190</v>
      </c>
      <c r="G72" s="77">
        <v>88190</v>
      </c>
      <c r="H72" s="77">
        <v>88200</v>
      </c>
      <c r="I72" s="77">
        <v>88200</v>
      </c>
      <c r="J72" s="77">
        <v>88200</v>
      </c>
      <c r="K72" s="77">
        <f>88200-30000</f>
        <v>58200</v>
      </c>
      <c r="L72" s="77">
        <v>88200</v>
      </c>
      <c r="M72" s="77">
        <v>88200</v>
      </c>
    </row>
    <row r="73" spans="1:13" outlineLevel="4">
      <c r="A73" s="131" t="s">
        <v>152</v>
      </c>
      <c r="B73" s="17" t="s">
        <v>28</v>
      </c>
      <c r="C73" s="133" t="s">
        <v>97</v>
      </c>
      <c r="D73" s="17" t="s">
        <v>29</v>
      </c>
      <c r="E73" s="17" t="s">
        <v>52</v>
      </c>
      <c r="F73" s="132">
        <f t="shared" ref="F73" si="58">SUM(F74:F75)</f>
        <v>5000</v>
      </c>
      <c r="G73" s="132">
        <f t="shared" ref="G73" si="59">SUM(G74:G75)</f>
        <v>5000</v>
      </c>
      <c r="H73" s="132">
        <f t="shared" ref="H73:J73" si="60">SUM(H74:H75)</f>
        <v>5000</v>
      </c>
      <c r="I73" s="132">
        <f t="shared" si="60"/>
        <v>5000</v>
      </c>
      <c r="J73" s="132">
        <f t="shared" si="60"/>
        <v>5000</v>
      </c>
      <c r="K73" s="132">
        <f t="shared" ref="K73:M73" si="61">SUM(K74:K75)</f>
        <v>5000</v>
      </c>
      <c r="L73" s="132">
        <f t="shared" si="61"/>
        <v>5000</v>
      </c>
      <c r="M73" s="132">
        <f t="shared" si="61"/>
        <v>5000</v>
      </c>
    </row>
    <row r="74" spans="1:13" ht="38.25" outlineLevel="4">
      <c r="A74" s="44" t="s">
        <v>158</v>
      </c>
      <c r="B74" s="96"/>
      <c r="C74" s="100"/>
      <c r="D74" s="98"/>
      <c r="E74" s="17"/>
      <c r="F74" s="57">
        <v>5000</v>
      </c>
      <c r="G74" s="57">
        <v>5000</v>
      </c>
      <c r="H74" s="57">
        <v>5000</v>
      </c>
      <c r="I74" s="57">
        <v>5000</v>
      </c>
      <c r="J74" s="57">
        <v>5000</v>
      </c>
      <c r="K74" s="57">
        <v>5000</v>
      </c>
      <c r="L74" s="57">
        <v>5000</v>
      </c>
      <c r="M74" s="57">
        <v>5000</v>
      </c>
    </row>
    <row r="75" spans="1:13" outlineLevel="4">
      <c r="A75" s="44" t="s">
        <v>153</v>
      </c>
      <c r="B75" s="96"/>
      <c r="C75" s="100"/>
      <c r="D75" s="98"/>
      <c r="E75" s="17"/>
      <c r="F75" s="58"/>
      <c r="G75" s="58"/>
      <c r="H75" s="58"/>
      <c r="I75" s="58"/>
      <c r="J75" s="58"/>
      <c r="K75" s="58"/>
      <c r="L75" s="58"/>
      <c r="M75" s="58"/>
    </row>
    <row r="76" spans="1:13" ht="25.5" outlineLevel="4">
      <c r="A76" s="7" t="s">
        <v>64</v>
      </c>
      <c r="B76" s="17"/>
      <c r="C76" s="21" t="s">
        <v>96</v>
      </c>
      <c r="D76" s="17" t="s">
        <v>21</v>
      </c>
      <c r="E76" s="17" t="s">
        <v>52</v>
      </c>
      <c r="F76" s="62">
        <f>SUM(F77:F78)</f>
        <v>0</v>
      </c>
      <c r="G76" s="62"/>
      <c r="H76" s="62">
        <f t="shared" ref="H76:J76" si="62">SUM(H77:H78)</f>
        <v>0</v>
      </c>
      <c r="I76" s="62">
        <f t="shared" si="62"/>
        <v>0</v>
      </c>
      <c r="J76" s="62">
        <f t="shared" si="62"/>
        <v>0</v>
      </c>
      <c r="K76" s="62">
        <f t="shared" ref="K76:M76" si="63">SUM(K77:K78)</f>
        <v>0</v>
      </c>
      <c r="L76" s="62">
        <f t="shared" si="63"/>
        <v>0</v>
      </c>
      <c r="M76" s="62">
        <f t="shared" si="63"/>
        <v>0</v>
      </c>
    </row>
    <row r="77" spans="1:13" ht="38.25" outlineLevel="4">
      <c r="A77" s="8" t="s">
        <v>216</v>
      </c>
      <c r="B77" s="22" t="s">
        <v>32</v>
      </c>
      <c r="C77" s="30" t="s">
        <v>96</v>
      </c>
      <c r="D77" s="22" t="s">
        <v>21</v>
      </c>
      <c r="E77" s="22" t="s">
        <v>52</v>
      </c>
      <c r="F77" s="58"/>
      <c r="G77" s="58"/>
      <c r="H77" s="58"/>
      <c r="I77" s="58"/>
      <c r="J77" s="58"/>
      <c r="K77" s="58"/>
      <c r="L77" s="58"/>
      <c r="M77" s="58"/>
    </row>
    <row r="78" spans="1:13" outlineLevel="4">
      <c r="A78" s="8"/>
      <c r="B78" s="22" t="s">
        <v>30</v>
      </c>
      <c r="C78" s="30" t="s">
        <v>96</v>
      </c>
      <c r="D78" s="22" t="s">
        <v>21</v>
      </c>
      <c r="E78" s="22" t="s">
        <v>52</v>
      </c>
      <c r="F78" s="58"/>
      <c r="G78" s="58"/>
      <c r="H78" s="58"/>
      <c r="I78" s="58"/>
      <c r="J78" s="58"/>
      <c r="K78" s="58"/>
      <c r="L78" s="58"/>
      <c r="M78" s="58"/>
    </row>
    <row r="79" spans="1:13" outlineLevel="4">
      <c r="A79" s="7" t="s">
        <v>67</v>
      </c>
      <c r="B79" s="17" t="s">
        <v>30</v>
      </c>
      <c r="C79" s="21" t="s">
        <v>104</v>
      </c>
      <c r="D79" s="17" t="s">
        <v>21</v>
      </c>
      <c r="E79" s="17" t="s">
        <v>52</v>
      </c>
      <c r="F79" s="53">
        <f t="shared" ref="F79" si="64">SUM(F80:F81)</f>
        <v>0</v>
      </c>
      <c r="G79" s="53"/>
      <c r="H79" s="53">
        <f t="shared" ref="H79:J79" si="65">SUM(H80:H81)</f>
        <v>0</v>
      </c>
      <c r="I79" s="53">
        <f t="shared" si="65"/>
        <v>0</v>
      </c>
      <c r="J79" s="53">
        <f t="shared" si="65"/>
        <v>0</v>
      </c>
      <c r="K79" s="53">
        <f t="shared" ref="K79:M79" si="66">SUM(K80:K81)</f>
        <v>0</v>
      </c>
      <c r="L79" s="53">
        <f t="shared" si="66"/>
        <v>0</v>
      </c>
      <c r="M79" s="53">
        <f t="shared" si="66"/>
        <v>0</v>
      </c>
    </row>
    <row r="80" spans="1:13" ht="25.5" outlineLevel="4">
      <c r="A80" s="9" t="s">
        <v>154</v>
      </c>
      <c r="B80" s="22"/>
      <c r="C80" s="30"/>
      <c r="D80" s="22"/>
      <c r="E80" s="22"/>
      <c r="F80" s="57"/>
      <c r="G80" s="57"/>
      <c r="H80" s="57"/>
      <c r="I80" s="57"/>
      <c r="J80" s="57"/>
      <c r="K80" s="57"/>
      <c r="L80" s="57"/>
      <c r="M80" s="57"/>
    </row>
    <row r="81" spans="1:13" outlineLevel="4">
      <c r="A81" s="8"/>
      <c r="B81" s="22"/>
      <c r="C81" s="30"/>
      <c r="D81" s="22"/>
      <c r="E81" s="22"/>
      <c r="F81" s="57"/>
      <c r="G81" s="57"/>
      <c r="H81" s="57"/>
      <c r="I81" s="57"/>
      <c r="J81" s="57"/>
      <c r="K81" s="57"/>
      <c r="L81" s="57"/>
      <c r="M81" s="57"/>
    </row>
    <row r="82" spans="1:13" outlineLevel="4">
      <c r="A82" s="7" t="s">
        <v>65</v>
      </c>
      <c r="B82" s="17" t="s">
        <v>30</v>
      </c>
      <c r="C82" s="21" t="s">
        <v>105</v>
      </c>
      <c r="D82" s="17" t="s">
        <v>21</v>
      </c>
      <c r="E82" s="17" t="s">
        <v>52</v>
      </c>
      <c r="F82" s="53">
        <v>20000</v>
      </c>
      <c r="G82" s="53">
        <v>20000</v>
      </c>
      <c r="H82" s="53">
        <v>20000</v>
      </c>
      <c r="I82" s="53">
        <v>20000</v>
      </c>
      <c r="J82" s="53">
        <v>20000</v>
      </c>
      <c r="K82" s="53">
        <v>20000</v>
      </c>
      <c r="L82" s="53">
        <v>20000</v>
      </c>
      <c r="M82" s="53">
        <v>20000</v>
      </c>
    </row>
    <row r="83" spans="1:13" outlineLevel="4">
      <c r="A83" s="41" t="s">
        <v>95</v>
      </c>
      <c r="B83" s="42" t="s">
        <v>27</v>
      </c>
      <c r="C83" s="43" t="s">
        <v>94</v>
      </c>
      <c r="D83" s="42" t="s">
        <v>179</v>
      </c>
      <c r="E83" s="42" t="s">
        <v>52</v>
      </c>
      <c r="F83" s="53"/>
      <c r="G83" s="53"/>
      <c r="H83" s="53"/>
      <c r="I83" s="53"/>
      <c r="J83" s="53"/>
      <c r="K83" s="53"/>
      <c r="L83" s="53"/>
      <c r="M83" s="53"/>
    </row>
    <row r="84" spans="1:13" outlineLevel="4">
      <c r="A84" s="131" t="s">
        <v>160</v>
      </c>
      <c r="B84" s="103" t="s">
        <v>30</v>
      </c>
      <c r="C84" s="46" t="s">
        <v>107</v>
      </c>
      <c r="D84" s="103" t="s">
        <v>29</v>
      </c>
      <c r="E84" s="103" t="s">
        <v>52</v>
      </c>
      <c r="F84" s="53">
        <f>SUM(F85:F86)</f>
        <v>0</v>
      </c>
      <c r="G84" s="53"/>
      <c r="H84" s="53">
        <f t="shared" ref="H84:J84" si="67">SUM(H85:H86)</f>
        <v>0</v>
      </c>
      <c r="I84" s="53">
        <f t="shared" si="67"/>
        <v>0</v>
      </c>
      <c r="J84" s="53">
        <f t="shared" si="67"/>
        <v>0</v>
      </c>
      <c r="K84" s="53">
        <f t="shared" ref="K84:M84" si="68">SUM(K85:K86)</f>
        <v>0</v>
      </c>
      <c r="L84" s="53">
        <f t="shared" si="68"/>
        <v>0</v>
      </c>
      <c r="M84" s="53">
        <f t="shared" si="68"/>
        <v>0</v>
      </c>
    </row>
    <row r="85" spans="1:13" outlineLevel="4">
      <c r="A85" s="44"/>
      <c r="B85" s="82"/>
      <c r="C85" s="30"/>
      <c r="D85" s="82"/>
      <c r="E85" s="82"/>
      <c r="F85" s="57"/>
      <c r="G85" s="137"/>
      <c r="H85" s="57"/>
      <c r="I85" s="57"/>
      <c r="J85" s="57"/>
      <c r="K85" s="57"/>
      <c r="L85" s="57"/>
      <c r="M85" s="57"/>
    </row>
    <row r="86" spans="1:13" outlineLevel="4">
      <c r="A86" s="44"/>
      <c r="B86" s="82"/>
      <c r="C86" s="30"/>
      <c r="D86" s="82"/>
      <c r="E86" s="82"/>
      <c r="F86" s="137"/>
      <c r="G86" s="137"/>
      <c r="H86" s="137"/>
      <c r="I86" s="137"/>
      <c r="J86" s="137"/>
      <c r="K86" s="137"/>
      <c r="L86" s="137"/>
      <c r="M86" s="137"/>
    </row>
    <row r="87" spans="1:13" outlineLevel="4">
      <c r="A87" s="134" t="s">
        <v>146</v>
      </c>
      <c r="B87" s="135"/>
      <c r="C87" s="136" t="s">
        <v>147</v>
      </c>
      <c r="D87" s="135" t="s">
        <v>21</v>
      </c>
      <c r="E87" s="135" t="s">
        <v>52</v>
      </c>
      <c r="F87" s="138">
        <f t="shared" ref="F87" si="69">SUM(F88:F91)</f>
        <v>20000</v>
      </c>
      <c r="G87" s="138">
        <f>SUM(G88:G91)</f>
        <v>20000</v>
      </c>
      <c r="H87" s="138">
        <f t="shared" ref="H87:J87" si="70">SUM(H88:H91)</f>
        <v>0</v>
      </c>
      <c r="I87" s="138">
        <f t="shared" si="70"/>
        <v>0</v>
      </c>
      <c r="J87" s="138">
        <f t="shared" si="70"/>
        <v>0</v>
      </c>
      <c r="K87" s="138">
        <f t="shared" ref="K87:M87" si="71">SUM(K88:K91)</f>
        <v>0</v>
      </c>
      <c r="L87" s="138">
        <f t="shared" si="71"/>
        <v>0</v>
      </c>
      <c r="M87" s="138">
        <f t="shared" si="71"/>
        <v>0</v>
      </c>
    </row>
    <row r="88" spans="1:13" outlineLevel="4">
      <c r="A88" s="44" t="s">
        <v>157</v>
      </c>
      <c r="B88" s="82" t="s">
        <v>30</v>
      </c>
      <c r="C88" s="30" t="s">
        <v>147</v>
      </c>
      <c r="D88" s="82" t="s">
        <v>21</v>
      </c>
      <c r="E88" s="82" t="s">
        <v>52</v>
      </c>
      <c r="F88" s="61">
        <v>20000</v>
      </c>
      <c r="G88" s="61">
        <v>20000</v>
      </c>
      <c r="H88" s="61"/>
      <c r="I88" s="61"/>
      <c r="J88" s="61"/>
      <c r="K88" s="61"/>
      <c r="L88" s="61"/>
      <c r="M88" s="61"/>
    </row>
    <row r="89" spans="1:13" outlineLevel="4">
      <c r="A89" s="139" t="s">
        <v>188</v>
      </c>
      <c r="B89" s="82" t="s">
        <v>189</v>
      </c>
      <c r="C89" s="30" t="s">
        <v>147</v>
      </c>
      <c r="D89" s="82" t="s">
        <v>190</v>
      </c>
      <c r="E89" s="82" t="s">
        <v>52</v>
      </c>
      <c r="F89" s="61"/>
      <c r="G89" s="61"/>
      <c r="H89" s="61"/>
      <c r="I89" s="61"/>
      <c r="J89" s="61"/>
      <c r="K89" s="61"/>
      <c r="L89" s="61"/>
      <c r="M89" s="61"/>
    </row>
    <row r="90" spans="1:13" outlineLevel="4">
      <c r="A90" s="44"/>
      <c r="B90" s="82" t="s">
        <v>30</v>
      </c>
      <c r="C90" s="30" t="s">
        <v>147</v>
      </c>
      <c r="D90" s="82" t="s">
        <v>21</v>
      </c>
      <c r="E90" s="82" t="s">
        <v>52</v>
      </c>
      <c r="F90" s="61"/>
      <c r="G90" s="61"/>
      <c r="H90" s="61"/>
      <c r="I90" s="61"/>
      <c r="J90" s="61"/>
      <c r="K90" s="61"/>
      <c r="L90" s="61"/>
      <c r="M90" s="61"/>
    </row>
    <row r="91" spans="1:13" outlineLevel="4">
      <c r="A91" s="44" t="s">
        <v>221</v>
      </c>
      <c r="B91" s="82"/>
      <c r="C91" s="81"/>
      <c r="D91" s="82"/>
      <c r="E91" s="82"/>
      <c r="F91" s="61"/>
      <c r="G91" s="61"/>
      <c r="H91" s="61"/>
      <c r="I91" s="61"/>
      <c r="J91" s="61"/>
      <c r="K91" s="61"/>
      <c r="L91" s="61"/>
      <c r="M91" s="61"/>
    </row>
    <row r="92" spans="1:13" outlineLevel="4">
      <c r="A92" s="152" t="s">
        <v>176</v>
      </c>
      <c r="B92" s="153" t="s">
        <v>30</v>
      </c>
      <c r="C92" s="104" t="s">
        <v>177</v>
      </c>
      <c r="D92" s="153"/>
      <c r="E92" s="153"/>
      <c r="F92" s="154">
        <f t="shared" ref="F92" si="72">F93+F94</f>
        <v>84630</v>
      </c>
      <c r="G92" s="154">
        <f t="shared" ref="G92" si="73">G93+G94</f>
        <v>84630</v>
      </c>
      <c r="H92" s="154">
        <f t="shared" ref="H92:J92" si="74">H93+H94</f>
        <v>0</v>
      </c>
      <c r="I92" s="154">
        <f t="shared" si="74"/>
        <v>0</v>
      </c>
      <c r="J92" s="154">
        <f t="shared" si="74"/>
        <v>0</v>
      </c>
      <c r="K92" s="154">
        <f t="shared" ref="K92:M92" si="75">K93+K94</f>
        <v>0</v>
      </c>
      <c r="L92" s="154">
        <f t="shared" si="75"/>
        <v>0</v>
      </c>
      <c r="M92" s="154">
        <f t="shared" si="75"/>
        <v>0</v>
      </c>
    </row>
    <row r="93" spans="1:13" outlineLevel="4">
      <c r="A93" s="44"/>
      <c r="B93" s="82" t="s">
        <v>30</v>
      </c>
      <c r="C93" s="81" t="s">
        <v>177</v>
      </c>
      <c r="D93" s="82" t="s">
        <v>18</v>
      </c>
      <c r="E93" s="82" t="s">
        <v>45</v>
      </c>
      <c r="F93" s="61">
        <v>65000</v>
      </c>
      <c r="G93" s="61">
        <v>65000</v>
      </c>
      <c r="H93" s="61"/>
      <c r="I93" s="61"/>
      <c r="J93" s="61"/>
      <c r="K93" s="61"/>
      <c r="L93" s="61"/>
      <c r="M93" s="61"/>
    </row>
    <row r="94" spans="1:13" outlineLevel="4">
      <c r="A94" s="44"/>
      <c r="B94" s="82" t="s">
        <v>30</v>
      </c>
      <c r="C94" s="81" t="s">
        <v>177</v>
      </c>
      <c r="D94" s="82" t="s">
        <v>53</v>
      </c>
      <c r="E94" s="82" t="s">
        <v>45</v>
      </c>
      <c r="F94" s="61">
        <v>19630</v>
      </c>
      <c r="G94" s="61">
        <v>19630</v>
      </c>
      <c r="H94" s="61"/>
      <c r="I94" s="61"/>
      <c r="J94" s="61"/>
      <c r="K94" s="61"/>
      <c r="L94" s="61"/>
      <c r="M94" s="61"/>
    </row>
    <row r="95" spans="1:13" ht="51" outlineLevel="4">
      <c r="A95" s="152" t="s">
        <v>197</v>
      </c>
      <c r="B95" s="153" t="s">
        <v>30</v>
      </c>
      <c r="C95" s="21" t="s">
        <v>198</v>
      </c>
      <c r="D95" s="153" t="s">
        <v>199</v>
      </c>
      <c r="E95" s="153" t="s">
        <v>45</v>
      </c>
      <c r="F95" s="154"/>
      <c r="G95" s="154"/>
      <c r="H95" s="154"/>
      <c r="I95" s="154"/>
      <c r="J95" s="154"/>
      <c r="K95" s="154"/>
      <c r="L95" s="154"/>
      <c r="M95" s="154"/>
    </row>
    <row r="96" spans="1:13" ht="15" outlineLevel="4">
      <c r="A96" s="119" t="s">
        <v>141</v>
      </c>
      <c r="B96" s="259" t="s">
        <v>142</v>
      </c>
      <c r="C96" s="260"/>
      <c r="D96" s="260"/>
      <c r="E96" s="261"/>
      <c r="F96" s="120">
        <f t="shared" ref="F96:M96" si="76">F97</f>
        <v>1000</v>
      </c>
      <c r="G96" s="120">
        <f t="shared" si="76"/>
        <v>1000</v>
      </c>
      <c r="H96" s="120">
        <f t="shared" si="76"/>
        <v>1000</v>
      </c>
      <c r="I96" s="120">
        <f t="shared" si="76"/>
        <v>1000</v>
      </c>
      <c r="J96" s="120">
        <f t="shared" si="76"/>
        <v>1000</v>
      </c>
      <c r="K96" s="120">
        <f t="shared" si="76"/>
        <v>1000</v>
      </c>
      <c r="L96" s="120">
        <f t="shared" si="76"/>
        <v>1000</v>
      </c>
      <c r="M96" s="120">
        <f t="shared" si="76"/>
        <v>1000</v>
      </c>
    </row>
    <row r="97" spans="1:13" outlineLevel="7">
      <c r="A97" s="7" t="s">
        <v>66</v>
      </c>
      <c r="B97" s="103" t="s">
        <v>30</v>
      </c>
      <c r="C97" s="104" t="s">
        <v>106</v>
      </c>
      <c r="D97" s="103" t="s">
        <v>21</v>
      </c>
      <c r="E97" s="103" t="s">
        <v>52</v>
      </c>
      <c r="F97" s="53">
        <v>1000</v>
      </c>
      <c r="G97" s="53">
        <v>1000</v>
      </c>
      <c r="H97" s="53">
        <v>1000</v>
      </c>
      <c r="I97" s="53">
        <v>1000</v>
      </c>
      <c r="J97" s="53">
        <v>1000</v>
      </c>
      <c r="K97" s="53">
        <v>1000</v>
      </c>
      <c r="L97" s="53">
        <v>1000</v>
      </c>
      <c r="M97" s="53">
        <v>1000</v>
      </c>
    </row>
    <row r="98" spans="1:13" ht="15" outlineLevel="7">
      <c r="A98" s="121" t="s">
        <v>117</v>
      </c>
      <c r="B98" s="262" t="s">
        <v>143</v>
      </c>
      <c r="C98" s="262"/>
      <c r="D98" s="262"/>
      <c r="E98" s="262"/>
      <c r="F98" s="89">
        <f>F99+F102+F186</f>
        <v>800000</v>
      </c>
      <c r="G98" s="89">
        <f t="shared" ref="G98:J98" si="77">G99+G102+G186</f>
        <v>800000</v>
      </c>
      <c r="H98" s="89">
        <f t="shared" si="77"/>
        <v>3812446</v>
      </c>
      <c r="I98" s="89">
        <f t="shared" si="77"/>
        <v>800000</v>
      </c>
      <c r="J98" s="89">
        <f t="shared" si="77"/>
        <v>800000</v>
      </c>
      <c r="K98" s="89">
        <f t="shared" ref="K98:M98" si="78">K99+K102+K186</f>
        <v>450000</v>
      </c>
      <c r="L98" s="89">
        <f t="shared" si="78"/>
        <v>0</v>
      </c>
      <c r="M98" s="89">
        <f t="shared" si="78"/>
        <v>0</v>
      </c>
    </row>
    <row r="99" spans="1:13" outlineLevel="7">
      <c r="A99" s="86" t="s">
        <v>77</v>
      </c>
      <c r="B99" s="107" t="s">
        <v>31</v>
      </c>
      <c r="C99" s="30"/>
      <c r="D99" s="107"/>
      <c r="E99" s="87" t="s">
        <v>52</v>
      </c>
      <c r="F99" s="88">
        <f t="shared" ref="F99" si="79">F100+F101</f>
        <v>0</v>
      </c>
      <c r="G99" s="88">
        <f t="shared" ref="G99" si="80">G100+G101</f>
        <v>0</v>
      </c>
      <c r="H99" s="88">
        <f t="shared" ref="H99:J99" si="81">H100+H101</f>
        <v>0</v>
      </c>
      <c r="I99" s="88">
        <f t="shared" si="81"/>
        <v>0</v>
      </c>
      <c r="J99" s="88">
        <f t="shared" si="81"/>
        <v>0</v>
      </c>
      <c r="K99" s="88">
        <f t="shared" ref="K99:M99" si="82">K100+K101</f>
        <v>0</v>
      </c>
      <c r="L99" s="88">
        <f t="shared" si="82"/>
        <v>0</v>
      </c>
      <c r="M99" s="88">
        <f t="shared" si="82"/>
        <v>0</v>
      </c>
    </row>
    <row r="100" spans="1:13" outlineLevel="7">
      <c r="A100" s="86" t="s">
        <v>124</v>
      </c>
      <c r="B100" s="107" t="s">
        <v>31</v>
      </c>
      <c r="C100" s="30" t="s">
        <v>162</v>
      </c>
      <c r="D100" s="107" t="s">
        <v>21</v>
      </c>
      <c r="E100" s="87" t="s">
        <v>52</v>
      </c>
      <c r="F100" s="63"/>
      <c r="G100" s="63"/>
      <c r="H100" s="63"/>
      <c r="I100" s="63"/>
      <c r="J100" s="63"/>
      <c r="K100" s="63"/>
      <c r="L100" s="63"/>
      <c r="M100" s="63"/>
    </row>
    <row r="101" spans="1:13" outlineLevel="7">
      <c r="A101" s="86" t="s">
        <v>125</v>
      </c>
      <c r="B101" s="107" t="s">
        <v>31</v>
      </c>
      <c r="C101" s="30" t="s">
        <v>200</v>
      </c>
      <c r="D101" s="107" t="s">
        <v>21</v>
      </c>
      <c r="E101" s="87" t="s">
        <v>52</v>
      </c>
      <c r="F101" s="63"/>
      <c r="G101" s="63"/>
      <c r="H101" s="63"/>
      <c r="I101" s="63"/>
      <c r="J101" s="63"/>
      <c r="K101" s="63"/>
      <c r="L101" s="63"/>
      <c r="M101" s="63"/>
    </row>
    <row r="102" spans="1:13" ht="25.5" outlineLevel="7">
      <c r="A102" s="108" t="s">
        <v>44</v>
      </c>
      <c r="B102" s="109"/>
      <c r="C102" s="110"/>
      <c r="D102" s="109"/>
      <c r="E102" s="109"/>
      <c r="F102" s="53">
        <f t="shared" ref="F102" si="83">SUM(F103:F107)</f>
        <v>800000</v>
      </c>
      <c r="G102" s="53">
        <f t="shared" ref="G102" si="84">SUM(G103:G107)</f>
        <v>800000</v>
      </c>
      <c r="H102" s="53">
        <f t="shared" ref="H102:J102" si="85">SUM(H103:H107)</f>
        <v>800000</v>
      </c>
      <c r="I102" s="53">
        <f t="shared" si="85"/>
        <v>800000</v>
      </c>
      <c r="J102" s="53">
        <f t="shared" si="85"/>
        <v>800000</v>
      </c>
      <c r="K102" s="53">
        <f t="shared" ref="K102:M102" si="86">SUM(K103:K107)</f>
        <v>450000</v>
      </c>
      <c r="L102" s="53">
        <f t="shared" si="86"/>
        <v>0</v>
      </c>
      <c r="M102" s="53">
        <f t="shared" si="86"/>
        <v>0</v>
      </c>
    </row>
    <row r="103" spans="1:13" ht="51" outlineLevel="7">
      <c r="A103" s="106" t="s">
        <v>118</v>
      </c>
      <c r="B103" s="107" t="s">
        <v>31</v>
      </c>
      <c r="C103" s="30" t="s">
        <v>54</v>
      </c>
      <c r="D103" s="107" t="s">
        <v>21</v>
      </c>
      <c r="E103" s="107" t="s">
        <v>45</v>
      </c>
      <c r="F103" s="57"/>
      <c r="G103" s="57"/>
      <c r="H103" s="57"/>
      <c r="I103" s="57"/>
      <c r="J103" s="57"/>
      <c r="K103" s="57"/>
      <c r="L103" s="57"/>
      <c r="M103" s="57"/>
    </row>
    <row r="104" spans="1:13" ht="51" outlineLevel="7">
      <c r="A104" s="106" t="s">
        <v>119</v>
      </c>
      <c r="B104" s="107" t="s">
        <v>31</v>
      </c>
      <c r="C104" s="30" t="s">
        <v>55</v>
      </c>
      <c r="D104" s="107" t="s">
        <v>21</v>
      </c>
      <c r="E104" s="107" t="s">
        <v>45</v>
      </c>
      <c r="F104" s="57"/>
      <c r="G104" s="57"/>
      <c r="H104" s="57"/>
      <c r="I104" s="57"/>
      <c r="J104" s="57"/>
      <c r="K104" s="57"/>
      <c r="L104" s="57"/>
      <c r="M104" s="57"/>
    </row>
    <row r="105" spans="1:13" ht="51" outlineLevel="7">
      <c r="A105" s="106" t="s">
        <v>120</v>
      </c>
      <c r="B105" s="107" t="s">
        <v>31</v>
      </c>
      <c r="C105" s="30" t="s">
        <v>56</v>
      </c>
      <c r="D105" s="107" t="s">
        <v>21</v>
      </c>
      <c r="E105" s="107" t="s">
        <v>45</v>
      </c>
      <c r="F105" s="57">
        <v>500000</v>
      </c>
      <c r="G105" s="57">
        <v>500000</v>
      </c>
      <c r="H105" s="57">
        <v>500000</v>
      </c>
      <c r="I105" s="57">
        <v>500000</v>
      </c>
      <c r="J105" s="57">
        <v>500000</v>
      </c>
      <c r="K105" s="57">
        <v>300000</v>
      </c>
      <c r="L105" s="57"/>
      <c r="M105" s="57"/>
    </row>
    <row r="106" spans="1:13" ht="51" outlineLevel="7">
      <c r="A106" s="106" t="s">
        <v>121</v>
      </c>
      <c r="B106" s="107" t="s">
        <v>31</v>
      </c>
      <c r="C106" s="30" t="s">
        <v>57</v>
      </c>
      <c r="D106" s="107" t="s">
        <v>21</v>
      </c>
      <c r="E106" s="107" t="s">
        <v>45</v>
      </c>
      <c r="F106" s="57">
        <v>300000</v>
      </c>
      <c r="G106" s="57">
        <v>300000</v>
      </c>
      <c r="H106" s="57">
        <v>300000</v>
      </c>
      <c r="I106" s="57">
        <v>300000</v>
      </c>
      <c r="J106" s="57">
        <v>300000</v>
      </c>
      <c r="K106" s="57">
        <v>150000</v>
      </c>
      <c r="L106" s="57"/>
      <c r="M106" s="57"/>
    </row>
    <row r="107" spans="1:13" ht="51" outlineLevel="7">
      <c r="A107" s="106" t="s">
        <v>122</v>
      </c>
      <c r="B107" s="107" t="s">
        <v>31</v>
      </c>
      <c r="C107" s="30" t="s">
        <v>58</v>
      </c>
      <c r="D107" s="107" t="s">
        <v>21</v>
      </c>
      <c r="E107" s="107" t="s">
        <v>45</v>
      </c>
      <c r="F107" s="57"/>
      <c r="G107" s="57"/>
      <c r="H107" s="57"/>
      <c r="I107" s="57"/>
      <c r="J107" s="57"/>
      <c r="K107" s="57"/>
      <c r="L107" s="57"/>
      <c r="M107" s="57"/>
    </row>
    <row r="108" spans="1:13" ht="15" outlineLevel="7">
      <c r="A108" s="122" t="s">
        <v>126</v>
      </c>
      <c r="B108" s="263" t="s">
        <v>145</v>
      </c>
      <c r="C108" s="264"/>
      <c r="D108" s="264"/>
      <c r="E108" s="265"/>
      <c r="F108" s="89">
        <f t="shared" ref="F108:J108" si="87">F109+F126+F133+F137+F142+F145+F151+F160+F163+F164+F179+F201</f>
        <v>2959201</v>
      </c>
      <c r="G108" s="89">
        <f t="shared" si="87"/>
        <v>3930413.1100000003</v>
      </c>
      <c r="H108" s="89">
        <f t="shared" si="87"/>
        <v>2686022</v>
      </c>
      <c r="I108" s="89">
        <f t="shared" si="87"/>
        <v>932088</v>
      </c>
      <c r="J108" s="89">
        <f t="shared" si="87"/>
        <v>932088</v>
      </c>
      <c r="K108" s="89">
        <f t="shared" ref="K108:M108" si="88">K109+K126+K133+K137+K142+K145+K151+K160+K163+K164+K179+K201</f>
        <v>896718</v>
      </c>
      <c r="L108" s="89">
        <f t="shared" si="88"/>
        <v>930165</v>
      </c>
      <c r="M108" s="89">
        <f t="shared" si="88"/>
        <v>907534</v>
      </c>
    </row>
    <row r="109" spans="1:13" ht="25.5" outlineLevel="7">
      <c r="A109" s="116" t="s">
        <v>44</v>
      </c>
      <c r="B109" s="123"/>
      <c r="C109" s="124"/>
      <c r="D109" s="123"/>
      <c r="E109" s="123"/>
      <c r="F109" s="53">
        <f t="shared" ref="F109" si="89">F110+F116+F122</f>
        <v>40000</v>
      </c>
      <c r="G109" s="53">
        <f t="shared" ref="G109" si="90">G110+G116+G122</f>
        <v>40000</v>
      </c>
      <c r="H109" s="53">
        <f t="shared" ref="H109:J109" si="91">H110+H116+H122</f>
        <v>170000</v>
      </c>
      <c r="I109" s="53">
        <f t="shared" si="91"/>
        <v>170000</v>
      </c>
      <c r="J109" s="53">
        <f t="shared" si="91"/>
        <v>170000</v>
      </c>
      <c r="K109" s="53">
        <f t="shared" ref="K109:M109" si="92">K110+K116+K122</f>
        <v>20000</v>
      </c>
      <c r="L109" s="53">
        <f t="shared" si="92"/>
        <v>0</v>
      </c>
      <c r="M109" s="53">
        <f t="shared" si="92"/>
        <v>0</v>
      </c>
    </row>
    <row r="110" spans="1:13" ht="51" outlineLevel="7">
      <c r="A110" s="92" t="s">
        <v>109</v>
      </c>
      <c r="B110" s="32" t="s">
        <v>33</v>
      </c>
      <c r="C110" s="35" t="s">
        <v>110</v>
      </c>
      <c r="D110" s="32" t="s">
        <v>21</v>
      </c>
      <c r="E110" s="32" t="s">
        <v>45</v>
      </c>
      <c r="F110" s="68">
        <f t="shared" ref="F110" si="93">SUM(F111:F114)</f>
        <v>0</v>
      </c>
      <c r="G110" s="68"/>
      <c r="H110" s="68">
        <f t="shared" ref="H110:J110" si="94">SUM(H111:H114)</f>
        <v>0</v>
      </c>
      <c r="I110" s="68">
        <f t="shared" si="94"/>
        <v>0</v>
      </c>
      <c r="J110" s="68">
        <f t="shared" si="94"/>
        <v>0</v>
      </c>
      <c r="K110" s="68">
        <f t="shared" ref="K110:M110" si="95">SUM(K111:K114)</f>
        <v>0</v>
      </c>
      <c r="L110" s="68">
        <f t="shared" si="95"/>
        <v>0</v>
      </c>
      <c r="M110" s="68">
        <f t="shared" si="95"/>
        <v>0</v>
      </c>
    </row>
    <row r="111" spans="1:13" outlineLevel="7">
      <c r="A111" s="10"/>
      <c r="B111" s="26"/>
      <c r="C111" s="36"/>
      <c r="D111" s="26"/>
      <c r="E111" s="26"/>
      <c r="F111" s="65"/>
      <c r="G111" s="65"/>
      <c r="H111" s="65"/>
      <c r="I111" s="65"/>
      <c r="J111" s="65"/>
      <c r="K111" s="65"/>
      <c r="L111" s="65"/>
      <c r="M111" s="65"/>
    </row>
    <row r="112" spans="1:13" outlineLevel="7">
      <c r="A112" s="10"/>
      <c r="B112" s="26"/>
      <c r="C112" s="36"/>
      <c r="D112" s="26"/>
      <c r="E112" s="26"/>
      <c r="F112" s="65"/>
      <c r="G112" s="65"/>
      <c r="H112" s="65"/>
      <c r="I112" s="65"/>
      <c r="J112" s="65"/>
      <c r="K112" s="65"/>
      <c r="L112" s="65"/>
      <c r="M112" s="65"/>
    </row>
    <row r="113" spans="1:13" outlineLevel="7">
      <c r="A113" s="10"/>
      <c r="B113" s="26"/>
      <c r="C113" s="36"/>
      <c r="D113" s="26"/>
      <c r="E113" s="26"/>
      <c r="F113" s="65"/>
      <c r="G113" s="65"/>
      <c r="H113" s="65"/>
      <c r="I113" s="65"/>
      <c r="J113" s="65"/>
      <c r="K113" s="65"/>
      <c r="L113" s="65"/>
      <c r="M113" s="65"/>
    </row>
    <row r="114" spans="1:13" outlineLevel="7">
      <c r="A114" s="10"/>
      <c r="B114" s="26"/>
      <c r="C114" s="47"/>
      <c r="D114" s="26"/>
      <c r="E114" s="26"/>
      <c r="F114" s="65"/>
      <c r="G114" s="65"/>
      <c r="H114" s="65"/>
      <c r="I114" s="67"/>
      <c r="J114" s="67"/>
      <c r="K114" s="65"/>
      <c r="L114" s="67"/>
      <c r="M114" s="67"/>
    </row>
    <row r="115" spans="1:13" outlineLevel="7">
      <c r="A115" s="90"/>
      <c r="B115" s="32"/>
      <c r="C115" s="91"/>
      <c r="D115" s="32"/>
      <c r="E115" s="32"/>
      <c r="F115" s="68"/>
      <c r="G115" s="68"/>
      <c r="H115" s="68"/>
      <c r="I115" s="68"/>
      <c r="J115" s="68"/>
      <c r="K115" s="68"/>
      <c r="L115" s="68"/>
      <c r="M115" s="68"/>
    </row>
    <row r="116" spans="1:13" ht="38.25" outlineLevel="7">
      <c r="A116" s="94" t="s">
        <v>123</v>
      </c>
      <c r="B116" s="32" t="s">
        <v>34</v>
      </c>
      <c r="C116" s="35" t="s">
        <v>108</v>
      </c>
      <c r="D116" s="32" t="s">
        <v>21</v>
      </c>
      <c r="E116" s="32" t="s">
        <v>45</v>
      </c>
      <c r="F116" s="68">
        <f t="shared" ref="F116" si="96">SUM(F117:F121)</f>
        <v>0</v>
      </c>
      <c r="G116" s="68">
        <f>SUM(G117:G121)</f>
        <v>0</v>
      </c>
      <c r="H116" s="68">
        <f t="shared" ref="H116:J116" si="97">SUM(H117:H121)</f>
        <v>0</v>
      </c>
      <c r="I116" s="68">
        <f t="shared" si="97"/>
        <v>0</v>
      </c>
      <c r="J116" s="68">
        <f t="shared" si="97"/>
        <v>0</v>
      </c>
      <c r="K116" s="68">
        <f t="shared" ref="K116:M116" si="98">SUM(K117:K121)</f>
        <v>0</v>
      </c>
      <c r="L116" s="68">
        <f t="shared" si="98"/>
        <v>0</v>
      </c>
      <c r="M116" s="68">
        <f t="shared" si="98"/>
        <v>0</v>
      </c>
    </row>
    <row r="117" spans="1:13" outlineLevel="7">
      <c r="A117" s="72"/>
      <c r="B117" s="73"/>
      <c r="C117" s="36"/>
      <c r="D117" s="74"/>
      <c r="E117" s="26"/>
      <c r="F117" s="65"/>
      <c r="G117" s="65"/>
      <c r="H117" s="65"/>
      <c r="I117" s="65"/>
      <c r="J117" s="65"/>
      <c r="K117" s="65"/>
      <c r="L117" s="65"/>
      <c r="M117" s="65"/>
    </row>
    <row r="118" spans="1:13" outlineLevel="7">
      <c r="A118" s="72"/>
      <c r="B118" s="73"/>
      <c r="C118" s="36"/>
      <c r="D118" s="74"/>
      <c r="E118" s="26"/>
      <c r="F118" s="65"/>
      <c r="G118" s="65"/>
      <c r="H118" s="65"/>
      <c r="I118" s="65"/>
      <c r="J118" s="65"/>
      <c r="K118" s="65"/>
      <c r="L118" s="65"/>
      <c r="M118" s="65"/>
    </row>
    <row r="119" spans="1:13" outlineLevel="7">
      <c r="A119" s="72"/>
      <c r="B119" s="73"/>
      <c r="C119" s="36"/>
      <c r="D119" s="74"/>
      <c r="E119" s="26"/>
      <c r="F119" s="65"/>
      <c r="G119" s="65"/>
      <c r="H119" s="65"/>
      <c r="I119" s="65"/>
      <c r="J119" s="65"/>
      <c r="K119" s="65"/>
      <c r="L119" s="65"/>
      <c r="M119" s="65"/>
    </row>
    <row r="120" spans="1:13" outlineLevel="7">
      <c r="A120" s="170"/>
      <c r="B120" s="73"/>
      <c r="C120" s="36"/>
      <c r="D120" s="74"/>
      <c r="E120" s="26"/>
      <c r="F120" s="65"/>
      <c r="G120" s="65"/>
      <c r="H120" s="65"/>
      <c r="I120" s="65"/>
      <c r="J120" s="65"/>
      <c r="K120" s="65"/>
      <c r="L120" s="65"/>
      <c r="M120" s="65"/>
    </row>
    <row r="121" spans="1:13" outlineLevel="7">
      <c r="A121" s="170" t="s">
        <v>221</v>
      </c>
      <c r="B121" s="168"/>
      <c r="C121" s="48"/>
      <c r="D121" s="169"/>
      <c r="E121" s="28"/>
      <c r="F121" s="65"/>
      <c r="G121" s="65"/>
      <c r="H121" s="65"/>
      <c r="I121" s="65"/>
      <c r="J121" s="65"/>
      <c r="K121" s="65"/>
      <c r="L121" s="65"/>
      <c r="M121" s="65"/>
    </row>
    <row r="122" spans="1:13" ht="25.5" outlineLevel="7">
      <c r="A122" s="95" t="s">
        <v>115</v>
      </c>
      <c r="B122" s="84" t="s">
        <v>36</v>
      </c>
      <c r="C122" s="35" t="s">
        <v>116</v>
      </c>
      <c r="D122" s="85" t="s">
        <v>21</v>
      </c>
      <c r="E122" s="32" t="s">
        <v>45</v>
      </c>
      <c r="F122" s="68">
        <f t="shared" ref="F122" si="99">SUM(F123:F125)</f>
        <v>40000</v>
      </c>
      <c r="G122" s="68">
        <f t="shared" ref="G122" si="100">SUM(G123:G125)</f>
        <v>40000</v>
      </c>
      <c r="H122" s="68">
        <f t="shared" ref="H122:J122" si="101">SUM(H123:H125)</f>
        <v>170000</v>
      </c>
      <c r="I122" s="68">
        <f t="shared" si="101"/>
        <v>170000</v>
      </c>
      <c r="J122" s="68">
        <f t="shared" si="101"/>
        <v>170000</v>
      </c>
      <c r="K122" s="68">
        <f t="shared" ref="K122:M122" si="102">SUM(K123:K125)</f>
        <v>20000</v>
      </c>
      <c r="L122" s="68">
        <f t="shared" si="102"/>
        <v>0</v>
      </c>
      <c r="M122" s="68">
        <f t="shared" si="102"/>
        <v>0</v>
      </c>
    </row>
    <row r="123" spans="1:13" outlineLevel="7">
      <c r="A123" s="139" t="s">
        <v>183</v>
      </c>
      <c r="B123" s="74"/>
      <c r="C123" s="36"/>
      <c r="D123" s="26"/>
      <c r="E123" s="26"/>
      <c r="F123" s="57">
        <v>30000</v>
      </c>
      <c r="G123" s="57">
        <v>13505</v>
      </c>
      <c r="H123" s="57">
        <v>150000</v>
      </c>
      <c r="I123" s="57">
        <v>150000</v>
      </c>
      <c r="J123" s="57">
        <v>150000</v>
      </c>
      <c r="K123" s="57"/>
      <c r="L123" s="57"/>
      <c r="M123" s="57"/>
    </row>
    <row r="124" spans="1:13" outlineLevel="3">
      <c r="A124" s="139" t="s">
        <v>215</v>
      </c>
      <c r="B124" s="74"/>
      <c r="C124" s="36"/>
      <c r="D124" s="26"/>
      <c r="E124" s="26"/>
      <c r="F124" s="65">
        <v>10000</v>
      </c>
      <c r="G124" s="65">
        <v>26495</v>
      </c>
      <c r="H124" s="65">
        <v>20000</v>
      </c>
      <c r="I124" s="65">
        <v>20000</v>
      </c>
      <c r="J124" s="65">
        <v>20000</v>
      </c>
      <c r="K124" s="65">
        <v>20000</v>
      </c>
      <c r="L124" s="65"/>
      <c r="M124" s="65"/>
    </row>
    <row r="125" spans="1:13" outlineLevel="4">
      <c r="A125" s="140" t="s">
        <v>221</v>
      </c>
      <c r="B125" s="26"/>
      <c r="C125" s="30"/>
      <c r="D125" s="26"/>
      <c r="E125" s="26"/>
      <c r="F125" s="65"/>
      <c r="G125" s="65"/>
      <c r="H125" s="65"/>
      <c r="I125" s="65"/>
      <c r="J125" s="65"/>
      <c r="K125" s="65"/>
      <c r="L125" s="65"/>
      <c r="M125" s="65"/>
    </row>
    <row r="126" spans="1:13" ht="25.5" outlineLevel="4">
      <c r="A126" s="7" t="s">
        <v>64</v>
      </c>
      <c r="B126" s="123"/>
      <c r="C126" s="18" t="s">
        <v>127</v>
      </c>
      <c r="D126" s="17" t="s">
        <v>21</v>
      </c>
      <c r="E126" s="17" t="s">
        <v>52</v>
      </c>
      <c r="F126" s="53">
        <f t="shared" ref="F126" si="103">F127+F131+F132</f>
        <v>0</v>
      </c>
      <c r="G126" s="53">
        <f t="shared" ref="G126:J126" si="104">G127+G131+G132</f>
        <v>0</v>
      </c>
      <c r="H126" s="53">
        <f t="shared" si="104"/>
        <v>0</v>
      </c>
      <c r="I126" s="53">
        <f t="shared" si="104"/>
        <v>0</v>
      </c>
      <c r="J126" s="53">
        <f t="shared" si="104"/>
        <v>0</v>
      </c>
      <c r="K126" s="53">
        <f t="shared" ref="K126:M126" si="105">K127+K131+K132</f>
        <v>0</v>
      </c>
      <c r="L126" s="53">
        <f t="shared" si="105"/>
        <v>0</v>
      </c>
      <c r="M126" s="53">
        <f t="shared" si="105"/>
        <v>0</v>
      </c>
    </row>
    <row r="127" spans="1:13" outlineLevel="4">
      <c r="A127" s="5"/>
      <c r="B127" s="33" t="s">
        <v>30</v>
      </c>
      <c r="C127" s="20" t="s">
        <v>127</v>
      </c>
      <c r="D127" s="33" t="s">
        <v>21</v>
      </c>
      <c r="E127" s="33" t="s">
        <v>52</v>
      </c>
      <c r="F127" s="63">
        <f t="shared" ref="F127" si="106">SUM(F128:F130)</f>
        <v>0</v>
      </c>
      <c r="G127" s="63">
        <f>SUM(G128:G130)</f>
        <v>0</v>
      </c>
      <c r="H127" s="63">
        <f t="shared" ref="H127:J127" si="107">SUM(H128:H130)</f>
        <v>0</v>
      </c>
      <c r="I127" s="63">
        <f t="shared" si="107"/>
        <v>0</v>
      </c>
      <c r="J127" s="63">
        <f t="shared" si="107"/>
        <v>0</v>
      </c>
      <c r="K127" s="63">
        <f t="shared" ref="K127:M127" si="108">SUM(K128:K130)</f>
        <v>0</v>
      </c>
      <c r="L127" s="63">
        <f t="shared" si="108"/>
        <v>0</v>
      </c>
      <c r="M127" s="63">
        <f t="shared" si="108"/>
        <v>0</v>
      </c>
    </row>
    <row r="128" spans="1:13" outlineLevel="4">
      <c r="A128" s="9"/>
      <c r="B128" s="24"/>
      <c r="C128" s="25"/>
      <c r="D128" s="24"/>
      <c r="E128" s="24"/>
      <c r="F128" s="57"/>
      <c r="G128" s="57"/>
      <c r="H128" s="57"/>
      <c r="I128" s="57"/>
      <c r="J128" s="57"/>
      <c r="K128" s="57"/>
      <c r="L128" s="57"/>
      <c r="M128" s="57"/>
    </row>
    <row r="129" spans="1:13" outlineLevel="4">
      <c r="A129" s="9"/>
      <c r="B129" s="24"/>
      <c r="C129" s="25"/>
      <c r="D129" s="24"/>
      <c r="E129" s="24"/>
      <c r="F129" s="57"/>
      <c r="G129" s="57"/>
      <c r="H129" s="57"/>
      <c r="I129" s="57"/>
      <c r="J129" s="57"/>
      <c r="K129" s="57"/>
      <c r="L129" s="57"/>
      <c r="M129" s="57"/>
    </row>
    <row r="130" spans="1:13" outlineLevel="4">
      <c r="A130" s="8" t="s">
        <v>221</v>
      </c>
      <c r="B130" s="22"/>
      <c r="C130" s="23"/>
      <c r="D130" s="22"/>
      <c r="E130" s="22"/>
      <c r="F130" s="57"/>
      <c r="G130" s="57"/>
      <c r="H130" s="57"/>
      <c r="I130" s="57"/>
      <c r="J130" s="57"/>
      <c r="K130" s="57"/>
      <c r="L130" s="57"/>
      <c r="M130" s="57"/>
    </row>
    <row r="131" spans="1:13" outlineLevel="4">
      <c r="A131" s="4"/>
      <c r="B131" s="19" t="s">
        <v>33</v>
      </c>
      <c r="C131" s="20" t="s">
        <v>127</v>
      </c>
      <c r="D131" s="33" t="s">
        <v>21</v>
      </c>
      <c r="E131" s="33" t="s">
        <v>52</v>
      </c>
      <c r="F131" s="56"/>
      <c r="G131" s="56"/>
      <c r="H131" s="56"/>
      <c r="I131" s="56"/>
      <c r="J131" s="56"/>
      <c r="K131" s="56"/>
      <c r="L131" s="56"/>
      <c r="M131" s="56"/>
    </row>
    <row r="132" spans="1:13" outlineLevel="7">
      <c r="A132" s="4"/>
      <c r="B132" s="19" t="s">
        <v>34</v>
      </c>
      <c r="C132" s="20" t="s">
        <v>127</v>
      </c>
      <c r="D132" s="33" t="s">
        <v>21</v>
      </c>
      <c r="E132" s="33" t="s">
        <v>52</v>
      </c>
      <c r="F132" s="55"/>
      <c r="G132" s="55"/>
      <c r="H132" s="55"/>
      <c r="I132" s="55"/>
      <c r="J132" s="55"/>
      <c r="K132" s="55"/>
      <c r="L132" s="55"/>
      <c r="M132" s="55"/>
    </row>
    <row r="133" spans="1:13" ht="25.5" outlineLevel="7">
      <c r="A133" s="7" t="s">
        <v>129</v>
      </c>
      <c r="B133" s="96" t="s">
        <v>33</v>
      </c>
      <c r="C133" s="100" t="s">
        <v>130</v>
      </c>
      <c r="D133" s="98" t="s">
        <v>21</v>
      </c>
      <c r="E133" s="17"/>
      <c r="F133" s="53">
        <f t="shared" ref="F133" si="109">SUM(F134:F136)</f>
        <v>0</v>
      </c>
      <c r="G133" s="53"/>
      <c r="H133" s="53">
        <f t="shared" ref="H133:J133" si="110">SUM(H134:H136)</f>
        <v>0</v>
      </c>
      <c r="I133" s="53">
        <f t="shared" si="110"/>
        <v>0</v>
      </c>
      <c r="J133" s="53">
        <f t="shared" si="110"/>
        <v>0</v>
      </c>
      <c r="K133" s="53">
        <f t="shared" ref="K133:M133" si="111">SUM(K134:K136)</f>
        <v>0</v>
      </c>
      <c r="L133" s="53">
        <f t="shared" si="111"/>
        <v>0</v>
      </c>
      <c r="M133" s="53">
        <f t="shared" si="111"/>
        <v>0</v>
      </c>
    </row>
    <row r="134" spans="1:13" outlineLevel="7">
      <c r="A134" s="8"/>
      <c r="B134" s="97"/>
      <c r="C134" s="101"/>
      <c r="D134" s="83"/>
      <c r="E134" s="22"/>
      <c r="F134" s="58"/>
      <c r="G134" s="58"/>
      <c r="H134" s="58"/>
      <c r="I134" s="58"/>
      <c r="J134" s="58"/>
      <c r="K134" s="58"/>
      <c r="L134" s="58"/>
      <c r="M134" s="58"/>
    </row>
    <row r="135" spans="1:13" outlineLevel="7">
      <c r="A135" s="8"/>
      <c r="B135" s="97"/>
      <c r="C135" s="101"/>
      <c r="D135" s="83"/>
      <c r="E135" s="22"/>
      <c r="F135" s="58"/>
      <c r="G135" s="58"/>
      <c r="H135" s="58"/>
      <c r="I135" s="58"/>
      <c r="J135" s="58"/>
      <c r="K135" s="58"/>
      <c r="L135" s="58"/>
      <c r="M135" s="58"/>
    </row>
    <row r="136" spans="1:13" outlineLevel="7">
      <c r="A136" s="8"/>
      <c r="B136" s="97"/>
      <c r="C136" s="101"/>
      <c r="D136" s="83"/>
      <c r="E136" s="22"/>
      <c r="F136" s="58"/>
      <c r="G136" s="58"/>
      <c r="H136" s="58"/>
      <c r="I136" s="58"/>
      <c r="J136" s="58"/>
      <c r="K136" s="58"/>
      <c r="L136" s="58"/>
      <c r="M136" s="58"/>
    </row>
    <row r="137" spans="1:13" outlineLevel="7">
      <c r="A137" s="7" t="s">
        <v>35</v>
      </c>
      <c r="B137" s="96" t="s">
        <v>34</v>
      </c>
      <c r="C137" s="100" t="s">
        <v>131</v>
      </c>
      <c r="D137" s="98" t="s">
        <v>21</v>
      </c>
      <c r="E137" s="17" t="s">
        <v>52</v>
      </c>
      <c r="F137" s="53">
        <f t="shared" ref="F137" si="112">SUM(F138:F141)</f>
        <v>0</v>
      </c>
      <c r="G137" s="53"/>
      <c r="H137" s="53">
        <f t="shared" ref="H137:J137" si="113">SUM(H138:H141)</f>
        <v>0</v>
      </c>
      <c r="I137" s="53">
        <f t="shared" si="113"/>
        <v>0</v>
      </c>
      <c r="J137" s="53">
        <f t="shared" si="113"/>
        <v>0</v>
      </c>
      <c r="K137" s="53">
        <f t="shared" ref="K137:M137" si="114">SUM(K138:K141)</f>
        <v>0</v>
      </c>
      <c r="L137" s="53">
        <f t="shared" si="114"/>
        <v>0</v>
      </c>
      <c r="M137" s="53">
        <f t="shared" si="114"/>
        <v>0</v>
      </c>
    </row>
    <row r="138" spans="1:13" outlineLevel="7">
      <c r="A138" s="7"/>
      <c r="B138" s="96"/>
      <c r="C138" s="100"/>
      <c r="D138" s="98"/>
      <c r="E138" s="17"/>
      <c r="F138" s="53"/>
      <c r="G138" s="53"/>
      <c r="H138" s="53"/>
      <c r="I138" s="53"/>
      <c r="J138" s="53"/>
      <c r="K138" s="53"/>
      <c r="L138" s="53"/>
      <c r="M138" s="53"/>
    </row>
    <row r="139" spans="1:13" outlineLevel="7">
      <c r="A139" s="7"/>
      <c r="B139" s="96"/>
      <c r="C139" s="100"/>
      <c r="D139" s="98"/>
      <c r="E139" s="17"/>
      <c r="F139" s="53"/>
      <c r="G139" s="53"/>
      <c r="H139" s="53"/>
      <c r="I139" s="53"/>
      <c r="J139" s="53"/>
      <c r="K139" s="53"/>
      <c r="L139" s="53"/>
      <c r="M139" s="53"/>
    </row>
    <row r="140" spans="1:13" outlineLevel="7">
      <c r="A140" s="7"/>
      <c r="B140" s="96"/>
      <c r="C140" s="100"/>
      <c r="D140" s="98"/>
      <c r="E140" s="17"/>
      <c r="F140" s="53"/>
      <c r="G140" s="53"/>
      <c r="H140" s="53"/>
      <c r="I140" s="53"/>
      <c r="J140" s="53"/>
      <c r="K140" s="53"/>
      <c r="L140" s="53"/>
      <c r="M140" s="53"/>
    </row>
    <row r="141" spans="1:13" outlineLevel="7">
      <c r="A141" s="8"/>
      <c r="B141" s="97"/>
      <c r="C141" s="101"/>
      <c r="D141" s="83"/>
      <c r="E141" s="22"/>
      <c r="F141" s="58"/>
      <c r="G141" s="58"/>
      <c r="H141" s="58"/>
      <c r="I141" s="58"/>
      <c r="J141" s="58"/>
      <c r="K141" s="58"/>
      <c r="L141" s="58"/>
      <c r="M141" s="58"/>
    </row>
    <row r="142" spans="1:13" ht="25.5" outlineLevel="7">
      <c r="A142" s="172" t="s">
        <v>211</v>
      </c>
      <c r="B142" s="96" t="s">
        <v>36</v>
      </c>
      <c r="C142" s="21" t="s">
        <v>212</v>
      </c>
      <c r="D142" s="17" t="s">
        <v>21</v>
      </c>
      <c r="E142" s="17"/>
      <c r="F142" s="62">
        <f t="shared" ref="F142" si="115">SUM(F143:F144)</f>
        <v>0</v>
      </c>
      <c r="G142" s="62">
        <f t="shared" ref="G142" si="116">SUM(G143:G144)</f>
        <v>0</v>
      </c>
      <c r="H142" s="62">
        <f t="shared" ref="H142:J142" si="117">SUM(H143:H144)</f>
        <v>0</v>
      </c>
      <c r="I142" s="62">
        <f t="shared" si="117"/>
        <v>0</v>
      </c>
      <c r="J142" s="62">
        <f t="shared" si="117"/>
        <v>0</v>
      </c>
      <c r="K142" s="62">
        <f t="shared" ref="K142:M142" si="118">SUM(K143:K144)</f>
        <v>0</v>
      </c>
      <c r="L142" s="62">
        <f t="shared" si="118"/>
        <v>0</v>
      </c>
      <c r="M142" s="62">
        <f t="shared" si="118"/>
        <v>0</v>
      </c>
    </row>
    <row r="143" spans="1:13" outlineLevel="7">
      <c r="A143" s="44" t="s">
        <v>240</v>
      </c>
      <c r="B143" s="173" t="s">
        <v>36</v>
      </c>
      <c r="C143" s="30" t="s">
        <v>212</v>
      </c>
      <c r="D143" s="22" t="s">
        <v>21</v>
      </c>
      <c r="E143" s="22" t="s">
        <v>52</v>
      </c>
      <c r="F143" s="58"/>
      <c r="G143" s="58"/>
      <c r="H143" s="58"/>
      <c r="I143" s="58"/>
      <c r="J143" s="58"/>
      <c r="K143" s="58"/>
      <c r="L143" s="58"/>
      <c r="M143" s="58"/>
    </row>
    <row r="144" spans="1:13" outlineLevel="7">
      <c r="A144" s="44" t="s">
        <v>241</v>
      </c>
      <c r="B144" s="173" t="s">
        <v>36</v>
      </c>
      <c r="C144" s="30" t="s">
        <v>212</v>
      </c>
      <c r="D144" s="22" t="s">
        <v>21</v>
      </c>
      <c r="E144" s="22" t="s">
        <v>45</v>
      </c>
      <c r="F144" s="159"/>
      <c r="G144" s="159"/>
      <c r="H144" s="159"/>
      <c r="I144" s="159"/>
      <c r="J144" s="159"/>
      <c r="K144" s="159"/>
      <c r="L144" s="159"/>
      <c r="M144" s="159"/>
    </row>
    <row r="145" spans="1:13" outlineLevel="7">
      <c r="A145" s="116" t="s">
        <v>63</v>
      </c>
      <c r="B145" s="123" t="s">
        <v>223</v>
      </c>
      <c r="C145" s="157" t="s">
        <v>128</v>
      </c>
      <c r="D145" s="123" t="s">
        <v>21</v>
      </c>
      <c r="E145" s="123"/>
      <c r="F145" s="53">
        <f t="shared" ref="F145" si="119">SUM(F146:F150)</f>
        <v>10000</v>
      </c>
      <c r="G145" s="53">
        <f t="shared" ref="G145:J145" si="120">SUM(G146:G150)</f>
        <v>156000</v>
      </c>
      <c r="H145" s="53">
        <f t="shared" si="120"/>
        <v>80000</v>
      </c>
      <c r="I145" s="53">
        <f t="shared" si="120"/>
        <v>80000</v>
      </c>
      <c r="J145" s="53">
        <f t="shared" si="120"/>
        <v>80000</v>
      </c>
      <c r="K145" s="53">
        <f t="shared" ref="K145:M145" si="121">SUM(K146:K150)</f>
        <v>0</v>
      </c>
      <c r="L145" s="53">
        <f t="shared" si="121"/>
        <v>80000</v>
      </c>
      <c r="M145" s="53">
        <f t="shared" si="121"/>
        <v>80000</v>
      </c>
    </row>
    <row r="146" spans="1:13" outlineLevel="7">
      <c r="A146" s="69" t="s">
        <v>225</v>
      </c>
      <c r="B146" s="194"/>
      <c r="C146" s="195"/>
      <c r="D146" s="194"/>
      <c r="E146" s="194" t="s">
        <v>52</v>
      </c>
      <c r="F146" s="64">
        <v>10000</v>
      </c>
      <c r="G146" s="64"/>
      <c r="H146" s="64">
        <v>80000</v>
      </c>
      <c r="I146" s="64">
        <v>80000</v>
      </c>
      <c r="J146" s="64">
        <v>80000</v>
      </c>
      <c r="K146" s="64">
        <v>0</v>
      </c>
      <c r="L146" s="64">
        <v>80000</v>
      </c>
      <c r="M146" s="64">
        <v>80000</v>
      </c>
    </row>
    <row r="147" spans="1:13" outlineLevel="7">
      <c r="A147" s="192" t="s">
        <v>224</v>
      </c>
      <c r="B147" s="200"/>
      <c r="C147" s="201"/>
      <c r="D147" s="200"/>
      <c r="E147" s="200" t="s">
        <v>45</v>
      </c>
      <c r="F147" s="64"/>
      <c r="G147" s="193">
        <v>66000</v>
      </c>
      <c r="H147" s="64"/>
      <c r="I147" s="64"/>
      <c r="J147" s="64"/>
      <c r="K147" s="64"/>
      <c r="L147" s="64"/>
      <c r="M147" s="64"/>
    </row>
    <row r="148" spans="1:13" outlineLevel="7">
      <c r="A148" s="146"/>
      <c r="B148" s="196"/>
      <c r="C148" s="197"/>
      <c r="D148" s="198"/>
      <c r="E148" s="199"/>
      <c r="F148" s="151"/>
      <c r="G148" s="151"/>
      <c r="H148" s="151"/>
      <c r="I148" s="151"/>
      <c r="J148" s="151"/>
      <c r="K148" s="151"/>
      <c r="L148" s="151"/>
      <c r="M148" s="151"/>
    </row>
    <row r="149" spans="1:13" ht="15.75" customHeight="1" outlineLevel="7">
      <c r="A149" s="146"/>
      <c r="B149" s="147"/>
      <c r="C149" s="148"/>
      <c r="D149" s="149"/>
      <c r="E149" s="150"/>
      <c r="F149" s="151"/>
      <c r="G149" s="151"/>
      <c r="H149" s="151"/>
      <c r="I149" s="151"/>
      <c r="J149" s="151"/>
      <c r="K149" s="151"/>
      <c r="L149" s="151"/>
      <c r="M149" s="151"/>
    </row>
    <row r="150" spans="1:13" outlineLevel="7">
      <c r="A150" s="8" t="s">
        <v>221</v>
      </c>
      <c r="B150" s="22"/>
      <c r="C150" s="99"/>
      <c r="D150" s="22"/>
      <c r="E150" s="22"/>
      <c r="F150" s="58"/>
      <c r="G150" s="58">
        <f>76000+80000-SUM(G146:G149)</f>
        <v>90000</v>
      </c>
      <c r="H150" s="58"/>
      <c r="I150" s="58"/>
      <c r="J150" s="58"/>
      <c r="K150" s="58"/>
      <c r="L150" s="58"/>
      <c r="M150" s="58"/>
    </row>
    <row r="151" spans="1:13" outlineLevel="7">
      <c r="A151" s="7" t="s">
        <v>133</v>
      </c>
      <c r="B151" s="17" t="s">
        <v>36</v>
      </c>
      <c r="C151" s="35" t="s">
        <v>132</v>
      </c>
      <c r="D151" s="17"/>
      <c r="E151" s="17"/>
      <c r="F151" s="53">
        <f t="shared" ref="F151:J151" si="122">F152+F158+F159</f>
        <v>258660</v>
      </c>
      <c r="G151" s="53">
        <f t="shared" si="122"/>
        <v>283660</v>
      </c>
      <c r="H151" s="53">
        <f t="shared" si="122"/>
        <v>238660</v>
      </c>
      <c r="I151" s="53">
        <f t="shared" si="122"/>
        <v>238660</v>
      </c>
      <c r="J151" s="53">
        <f t="shared" si="122"/>
        <v>238660</v>
      </c>
      <c r="K151" s="53">
        <f t="shared" ref="K151:M151" si="123">K152+K158+K159</f>
        <v>332111</v>
      </c>
      <c r="L151" s="53">
        <f t="shared" si="123"/>
        <v>406737</v>
      </c>
      <c r="M151" s="53">
        <f t="shared" si="123"/>
        <v>384106</v>
      </c>
    </row>
    <row r="152" spans="1:13" outlineLevel="7">
      <c r="A152" s="7"/>
      <c r="B152" s="33" t="s">
        <v>36</v>
      </c>
      <c r="C152" s="93" t="s">
        <v>132</v>
      </c>
      <c r="D152" s="33" t="s">
        <v>21</v>
      </c>
      <c r="E152" s="33" t="s">
        <v>52</v>
      </c>
      <c r="F152" s="63">
        <f>SUM(F153:F156)</f>
        <v>58660</v>
      </c>
      <c r="G152" s="63">
        <f>SUM(G153:G157)</f>
        <v>83660</v>
      </c>
      <c r="H152" s="63">
        <f t="shared" ref="H152:J152" si="124">SUM(H153:H156)</f>
        <v>38660</v>
      </c>
      <c r="I152" s="63">
        <f t="shared" si="124"/>
        <v>38660</v>
      </c>
      <c r="J152" s="63">
        <f t="shared" si="124"/>
        <v>38660</v>
      </c>
      <c r="K152" s="63">
        <f t="shared" ref="K152:M152" si="125">SUM(K153:K156)</f>
        <v>132111</v>
      </c>
      <c r="L152" s="63">
        <f t="shared" si="125"/>
        <v>206737</v>
      </c>
      <c r="M152" s="63">
        <f t="shared" si="125"/>
        <v>184106</v>
      </c>
    </row>
    <row r="153" spans="1:13" outlineLevel="7">
      <c r="A153" s="8" t="s">
        <v>37</v>
      </c>
      <c r="B153" s="22"/>
      <c r="C153" s="23"/>
      <c r="D153" s="22"/>
      <c r="E153" s="22"/>
      <c r="F153" s="58"/>
      <c r="G153" s="58"/>
      <c r="H153" s="58"/>
      <c r="I153" s="58"/>
      <c r="J153" s="58"/>
      <c r="K153" s="58"/>
      <c r="L153" s="58"/>
      <c r="M153" s="58"/>
    </row>
    <row r="154" spans="1:13" outlineLevel="7">
      <c r="A154" s="8" t="s">
        <v>81</v>
      </c>
      <c r="B154" s="22"/>
      <c r="C154" s="23"/>
      <c r="D154" s="22"/>
      <c r="E154" s="22"/>
      <c r="F154" s="58">
        <v>58660</v>
      </c>
      <c r="G154" s="58"/>
      <c r="H154" s="58">
        <v>18660</v>
      </c>
      <c r="I154" s="58">
        <v>18660</v>
      </c>
      <c r="J154" s="58">
        <v>18660</v>
      </c>
      <c r="K154" s="58">
        <v>112111</v>
      </c>
      <c r="L154" s="58">
        <f>18660+45336+126341-3600</f>
        <v>186737</v>
      </c>
      <c r="M154" s="58">
        <f>18660+25915+126331-6800</f>
        <v>164106</v>
      </c>
    </row>
    <row r="155" spans="1:13" outlineLevel="7">
      <c r="A155" s="8" t="s">
        <v>201</v>
      </c>
      <c r="B155" s="22"/>
      <c r="C155" s="99"/>
      <c r="D155" s="22"/>
      <c r="E155" s="22"/>
      <c r="F155" s="58"/>
      <c r="G155" s="58"/>
      <c r="H155" s="58"/>
      <c r="I155" s="58"/>
      <c r="J155" s="58"/>
      <c r="K155" s="58"/>
      <c r="L155" s="58"/>
      <c r="M155" s="58"/>
    </row>
    <row r="156" spans="1:13" outlineLevel="7">
      <c r="A156" s="8" t="s">
        <v>38</v>
      </c>
      <c r="B156" s="97"/>
      <c r="C156" s="101"/>
      <c r="D156" s="83"/>
      <c r="E156" s="22"/>
      <c r="F156" s="58"/>
      <c r="G156" s="58">
        <v>68382.179999999993</v>
      </c>
      <c r="H156" s="58">
        <v>20000</v>
      </c>
      <c r="I156" s="58">
        <v>20000</v>
      </c>
      <c r="J156" s="58">
        <v>20000</v>
      </c>
      <c r="K156" s="58">
        <v>20000</v>
      </c>
      <c r="L156" s="58">
        <v>20000</v>
      </c>
      <c r="M156" s="58">
        <v>20000</v>
      </c>
    </row>
    <row r="157" spans="1:13" outlineLevel="7">
      <c r="A157" s="8" t="s">
        <v>221</v>
      </c>
      <c r="B157" s="202"/>
      <c r="C157" s="101"/>
      <c r="D157" s="203"/>
      <c r="E157" s="80"/>
      <c r="F157" s="58"/>
      <c r="G157" s="58">
        <f>83660-SUM(G153:G156)</f>
        <v>15277.820000000007</v>
      </c>
      <c r="H157" s="58"/>
      <c r="I157" s="58"/>
      <c r="J157" s="58"/>
      <c r="K157" s="58"/>
      <c r="L157" s="58"/>
      <c r="M157" s="58"/>
    </row>
    <row r="158" spans="1:13" outlineLevel="7">
      <c r="A158" s="158" t="s">
        <v>184</v>
      </c>
      <c r="B158" s="238" t="s">
        <v>36</v>
      </c>
      <c r="C158" s="240" t="s">
        <v>132</v>
      </c>
      <c r="D158" s="242" t="s">
        <v>180</v>
      </c>
      <c r="E158" s="242" t="s">
        <v>52</v>
      </c>
      <c r="F158" s="159">
        <v>200000</v>
      </c>
      <c r="G158" s="159">
        <v>179586</v>
      </c>
      <c r="H158" s="159">
        <v>200000</v>
      </c>
      <c r="I158" s="159">
        <v>200000</v>
      </c>
      <c r="J158" s="159">
        <v>200000</v>
      </c>
      <c r="K158" s="159">
        <v>200000</v>
      </c>
      <c r="L158" s="159">
        <v>200000</v>
      </c>
      <c r="M158" s="159">
        <v>200000</v>
      </c>
    </row>
    <row r="159" spans="1:13" outlineLevel="7">
      <c r="A159" s="9" t="s">
        <v>221</v>
      </c>
      <c r="B159" s="239"/>
      <c r="C159" s="241"/>
      <c r="D159" s="243"/>
      <c r="E159" s="243"/>
      <c r="F159" s="159"/>
      <c r="G159" s="159">
        <f>200000-G158</f>
        <v>20414</v>
      </c>
      <c r="H159" s="159"/>
      <c r="I159" s="159"/>
      <c r="J159" s="159"/>
      <c r="K159" s="159"/>
      <c r="L159" s="159"/>
      <c r="M159" s="159"/>
    </row>
    <row r="160" spans="1:13" outlineLevel="7">
      <c r="A160" s="7" t="s">
        <v>134</v>
      </c>
      <c r="B160" s="17" t="s">
        <v>36</v>
      </c>
      <c r="C160" s="35" t="s">
        <v>140</v>
      </c>
      <c r="D160" s="17" t="s">
        <v>21</v>
      </c>
      <c r="E160" s="17" t="s">
        <v>52</v>
      </c>
      <c r="F160" s="62">
        <f t="shared" ref="F160:J160" si="126">SUM(F161:F162)</f>
        <v>10000</v>
      </c>
      <c r="G160" s="62">
        <f t="shared" si="126"/>
        <v>12900</v>
      </c>
      <c r="H160" s="62">
        <f t="shared" si="126"/>
        <v>10000</v>
      </c>
      <c r="I160" s="62">
        <f t="shared" si="126"/>
        <v>10000</v>
      </c>
      <c r="J160" s="62">
        <f t="shared" si="126"/>
        <v>10000</v>
      </c>
      <c r="K160" s="62">
        <f t="shared" ref="K160:M160" si="127">SUM(K161:K162)</f>
        <v>10000</v>
      </c>
      <c r="L160" s="62">
        <f t="shared" si="127"/>
        <v>10000</v>
      </c>
      <c r="M160" s="62">
        <f t="shared" si="127"/>
        <v>10000</v>
      </c>
    </row>
    <row r="161" spans="1:13" outlineLevel="7">
      <c r="A161" s="8" t="s">
        <v>135</v>
      </c>
      <c r="B161" s="97"/>
      <c r="C161" s="101"/>
      <c r="D161" s="83"/>
      <c r="E161" s="22"/>
      <c r="F161" s="58">
        <v>10000</v>
      </c>
      <c r="G161" s="58">
        <v>12900</v>
      </c>
      <c r="H161" s="58">
        <v>10000</v>
      </c>
      <c r="I161" s="58">
        <v>10000</v>
      </c>
      <c r="J161" s="58">
        <v>10000</v>
      </c>
      <c r="K161" s="58">
        <v>10000</v>
      </c>
      <c r="L161" s="58">
        <v>10000</v>
      </c>
      <c r="M161" s="58">
        <v>10000</v>
      </c>
    </row>
    <row r="162" spans="1:13" outlineLevel="7">
      <c r="A162" s="8" t="s">
        <v>221</v>
      </c>
      <c r="B162" s="97"/>
      <c r="C162" s="101"/>
      <c r="D162" s="83"/>
      <c r="E162" s="22"/>
      <c r="F162" s="58"/>
      <c r="G162" s="58"/>
      <c r="H162" s="58"/>
      <c r="I162" s="58"/>
      <c r="J162" s="58"/>
      <c r="K162" s="58"/>
      <c r="L162" s="58"/>
      <c r="M162" s="58"/>
    </row>
    <row r="163" spans="1:13" ht="25.5" outlineLevel="7">
      <c r="A163" s="7" t="s">
        <v>227</v>
      </c>
      <c r="B163" s="17" t="s">
        <v>36</v>
      </c>
      <c r="C163" s="35" t="s">
        <v>139</v>
      </c>
      <c r="D163" s="17" t="s">
        <v>21</v>
      </c>
      <c r="E163" s="17" t="s">
        <v>45</v>
      </c>
      <c r="F163" s="62"/>
      <c r="G163" s="62"/>
      <c r="H163" s="62"/>
      <c r="I163" s="62"/>
      <c r="J163" s="62"/>
      <c r="K163" s="62"/>
      <c r="L163" s="62"/>
      <c r="M163" s="62"/>
    </row>
    <row r="164" spans="1:13" outlineLevel="7">
      <c r="A164" s="7" t="s">
        <v>62</v>
      </c>
      <c r="B164" s="17" t="s">
        <v>36</v>
      </c>
      <c r="C164" s="35" t="s">
        <v>139</v>
      </c>
      <c r="D164" s="17" t="s">
        <v>21</v>
      </c>
      <c r="E164" s="17" t="s">
        <v>52</v>
      </c>
      <c r="F164" s="53">
        <f t="shared" ref="F164:J164" si="128">SUM(F165:F178)</f>
        <v>235000</v>
      </c>
      <c r="G164" s="53">
        <f t="shared" si="128"/>
        <v>732397.8</v>
      </c>
      <c r="H164" s="53">
        <f t="shared" si="128"/>
        <v>718808</v>
      </c>
      <c r="I164" s="53">
        <f t="shared" si="128"/>
        <v>433428</v>
      </c>
      <c r="J164" s="53">
        <f t="shared" si="128"/>
        <v>433428</v>
      </c>
      <c r="K164" s="53">
        <f t="shared" ref="K164:M164" si="129">SUM(K165:K178)</f>
        <v>66053</v>
      </c>
      <c r="L164" s="53">
        <f t="shared" si="129"/>
        <v>433428</v>
      </c>
      <c r="M164" s="53">
        <f t="shared" si="129"/>
        <v>433428</v>
      </c>
    </row>
    <row r="165" spans="1:13" outlineLevel="7">
      <c r="A165" s="9" t="s">
        <v>136</v>
      </c>
      <c r="B165" s="24"/>
      <c r="C165" s="182"/>
      <c r="D165" s="24"/>
      <c r="E165" s="24"/>
      <c r="F165" s="58"/>
      <c r="G165" s="58">
        <v>54000</v>
      </c>
      <c r="H165" s="58">
        <v>128808</v>
      </c>
      <c r="I165" s="58"/>
      <c r="J165" s="58"/>
      <c r="K165" s="58">
        <v>0</v>
      </c>
      <c r="L165" s="58"/>
      <c r="M165" s="58"/>
    </row>
    <row r="166" spans="1:13" outlineLevel="7">
      <c r="A166" s="9" t="s">
        <v>233</v>
      </c>
      <c r="B166" s="22"/>
      <c r="C166" s="23"/>
      <c r="D166" s="22"/>
      <c r="E166" s="22"/>
      <c r="F166" s="58"/>
      <c r="G166" s="58">
        <v>12000</v>
      </c>
      <c r="H166" s="58">
        <v>50000</v>
      </c>
      <c r="I166" s="58">
        <v>50000</v>
      </c>
      <c r="J166" s="58">
        <v>50000</v>
      </c>
      <c r="K166" s="58">
        <f>30000-13947</f>
        <v>16053</v>
      </c>
      <c r="L166" s="58">
        <v>50000</v>
      </c>
      <c r="M166" s="58">
        <v>50000</v>
      </c>
    </row>
    <row r="167" spans="1:13" outlineLevel="7">
      <c r="A167" s="9" t="s">
        <v>259</v>
      </c>
      <c r="B167" s="22"/>
      <c r="C167" s="23"/>
      <c r="D167" s="22"/>
      <c r="E167" s="22"/>
      <c r="F167" s="58"/>
      <c r="G167" s="58"/>
      <c r="H167" s="58">
        <v>150000</v>
      </c>
      <c r="I167" s="58"/>
      <c r="J167" s="58"/>
      <c r="K167" s="58">
        <v>0</v>
      </c>
      <c r="L167" s="58"/>
      <c r="M167" s="58"/>
    </row>
    <row r="168" spans="1:13" outlineLevel="7">
      <c r="A168" s="9" t="s">
        <v>234</v>
      </c>
      <c r="B168" s="22"/>
      <c r="C168" s="23"/>
      <c r="D168" s="22"/>
      <c r="E168" s="22"/>
      <c r="F168" s="58"/>
      <c r="G168" s="58"/>
      <c r="H168" s="58">
        <v>50000</v>
      </c>
      <c r="I168" s="58">
        <v>50000</v>
      </c>
      <c r="J168" s="58">
        <v>50000</v>
      </c>
      <c r="K168" s="58">
        <v>0</v>
      </c>
      <c r="L168" s="58">
        <v>50000</v>
      </c>
      <c r="M168" s="58">
        <v>50000</v>
      </c>
    </row>
    <row r="169" spans="1:13" outlineLevel="7">
      <c r="A169" s="8" t="s">
        <v>61</v>
      </c>
      <c r="B169" s="22"/>
      <c r="C169" s="23"/>
      <c r="D169" s="22"/>
      <c r="E169" s="22"/>
      <c r="F169" s="58">
        <v>40000</v>
      </c>
      <c r="G169" s="58"/>
      <c r="H169" s="58">
        <v>40000</v>
      </c>
      <c r="I169" s="58">
        <v>40000</v>
      </c>
      <c r="J169" s="58">
        <v>40000</v>
      </c>
      <c r="K169" s="58">
        <v>0</v>
      </c>
      <c r="L169" s="58">
        <v>40000</v>
      </c>
      <c r="M169" s="58">
        <v>40000</v>
      </c>
    </row>
    <row r="170" spans="1:13" outlineLevel="7">
      <c r="A170" s="8" t="s">
        <v>137</v>
      </c>
      <c r="B170" s="22"/>
      <c r="C170" s="23"/>
      <c r="D170" s="22"/>
      <c r="E170" s="22"/>
      <c r="F170" s="58">
        <v>30000</v>
      </c>
      <c r="G170" s="58"/>
      <c r="H170" s="58">
        <v>30000</v>
      </c>
      <c r="I170" s="58">
        <v>30000</v>
      </c>
      <c r="J170" s="58">
        <v>30000</v>
      </c>
      <c r="K170" s="58">
        <v>0</v>
      </c>
      <c r="L170" s="58">
        <v>30000</v>
      </c>
      <c r="M170" s="58">
        <v>30000</v>
      </c>
    </row>
    <row r="171" spans="1:13" outlineLevel="7">
      <c r="A171" s="8" t="s">
        <v>138</v>
      </c>
      <c r="B171" s="22"/>
      <c r="C171" s="23"/>
      <c r="D171" s="22"/>
      <c r="E171" s="22"/>
      <c r="F171" s="58">
        <v>15000</v>
      </c>
      <c r="G171" s="58"/>
      <c r="H171" s="58">
        <v>150000</v>
      </c>
      <c r="I171" s="58">
        <v>43428</v>
      </c>
      <c r="J171" s="58">
        <v>43428</v>
      </c>
      <c r="K171" s="58">
        <v>0</v>
      </c>
      <c r="L171" s="58">
        <v>43428</v>
      </c>
      <c r="M171" s="58">
        <v>43428</v>
      </c>
    </row>
    <row r="172" spans="1:13" outlineLevel="7">
      <c r="A172" s="8" t="s">
        <v>191</v>
      </c>
      <c r="B172" s="22"/>
      <c r="C172" s="23"/>
      <c r="D172" s="22"/>
      <c r="E172" s="22"/>
      <c r="F172" s="58"/>
      <c r="G172" s="58"/>
      <c r="H172" s="58"/>
      <c r="I172" s="58"/>
      <c r="J172" s="58"/>
      <c r="K172" s="58"/>
      <c r="L172" s="58"/>
      <c r="M172" s="58"/>
    </row>
    <row r="173" spans="1:13" outlineLevel="7">
      <c r="A173" s="8" t="s">
        <v>202</v>
      </c>
      <c r="B173" s="22"/>
      <c r="C173" s="23"/>
      <c r="D173" s="22"/>
      <c r="E173" s="22"/>
      <c r="F173" s="58"/>
      <c r="G173" s="58"/>
      <c r="H173" s="58"/>
      <c r="I173" s="58"/>
      <c r="J173" s="58"/>
      <c r="K173" s="58"/>
      <c r="L173" s="58"/>
      <c r="M173" s="58"/>
    </row>
    <row r="174" spans="1:13" outlineLevel="7">
      <c r="A174" s="8" t="s">
        <v>204</v>
      </c>
      <c r="B174" s="22"/>
      <c r="C174" s="23"/>
      <c r="D174" s="22"/>
      <c r="E174" s="22"/>
      <c r="F174" s="58">
        <v>40000</v>
      </c>
      <c r="G174" s="58"/>
      <c r="H174" s="58">
        <v>0</v>
      </c>
      <c r="I174" s="58">
        <v>40000</v>
      </c>
      <c r="J174" s="58">
        <v>40000</v>
      </c>
      <c r="K174" s="58">
        <v>0</v>
      </c>
      <c r="L174" s="58">
        <v>40000</v>
      </c>
      <c r="M174" s="58">
        <v>40000</v>
      </c>
    </row>
    <row r="175" spans="1:13" outlineLevel="7">
      <c r="A175" s="8" t="s">
        <v>203</v>
      </c>
      <c r="B175" s="22"/>
      <c r="C175" s="23"/>
      <c r="D175" s="22"/>
      <c r="E175" s="22"/>
      <c r="F175" s="58">
        <v>60000</v>
      </c>
      <c r="G175" s="58"/>
      <c r="H175" s="58">
        <v>0</v>
      </c>
      <c r="I175" s="58">
        <v>60000</v>
      </c>
      <c r="J175" s="58">
        <v>60000</v>
      </c>
      <c r="K175" s="58">
        <v>0</v>
      </c>
      <c r="L175" s="58">
        <v>60000</v>
      </c>
      <c r="M175" s="58">
        <v>60000</v>
      </c>
    </row>
    <row r="176" spans="1:13" outlineLevel="7">
      <c r="A176" s="8" t="s">
        <v>258</v>
      </c>
      <c r="B176" s="22"/>
      <c r="C176" s="23"/>
      <c r="D176" s="22"/>
      <c r="E176" s="22"/>
      <c r="F176" s="58"/>
      <c r="G176" s="58"/>
      <c r="H176" s="58">
        <v>70000</v>
      </c>
      <c r="I176" s="58">
        <v>70000</v>
      </c>
      <c r="J176" s="58">
        <v>70000</v>
      </c>
      <c r="K176" s="58">
        <v>0</v>
      </c>
      <c r="L176" s="58">
        <v>70000</v>
      </c>
      <c r="M176" s="58">
        <v>70000</v>
      </c>
    </row>
    <row r="177" spans="1:13" outlineLevel="4">
      <c r="A177" s="8" t="s">
        <v>226</v>
      </c>
      <c r="B177" s="22"/>
      <c r="C177" s="23"/>
      <c r="D177" s="22"/>
      <c r="E177" s="22"/>
      <c r="F177" s="65">
        <v>50000</v>
      </c>
      <c r="G177" s="65">
        <v>28895</v>
      </c>
      <c r="H177" s="65">
        <v>50000</v>
      </c>
      <c r="I177" s="65">
        <v>50000</v>
      </c>
      <c r="J177" s="65">
        <v>50000</v>
      </c>
      <c r="K177" s="65">
        <v>50000</v>
      </c>
      <c r="L177" s="65">
        <v>50000</v>
      </c>
      <c r="M177" s="65">
        <v>50000</v>
      </c>
    </row>
    <row r="178" spans="1:13" outlineLevel="4">
      <c r="A178" s="186" t="s">
        <v>221</v>
      </c>
      <c r="B178" s="22"/>
      <c r="C178" s="184"/>
      <c r="D178" s="83"/>
      <c r="E178" s="22"/>
      <c r="F178" s="65"/>
      <c r="G178" s="65">
        <f>732397.8-SUM(G165:G177)</f>
        <v>637502.80000000005</v>
      </c>
      <c r="H178" s="65"/>
      <c r="I178" s="65"/>
      <c r="J178" s="65"/>
      <c r="K178" s="65"/>
      <c r="L178" s="65"/>
      <c r="M178" s="65"/>
    </row>
    <row r="179" spans="1:13" ht="34.5" customHeight="1" outlineLevel="7">
      <c r="A179" s="105" t="s">
        <v>175</v>
      </c>
      <c r="B179" s="17" t="s">
        <v>36</v>
      </c>
      <c r="C179" s="204" t="s">
        <v>178</v>
      </c>
      <c r="D179" s="98" t="s">
        <v>21</v>
      </c>
      <c r="E179" s="17"/>
      <c r="F179" s="53">
        <f>F180+F191+F196</f>
        <v>2315541</v>
      </c>
      <c r="G179" s="53">
        <f t="shared" ref="G179:J179" si="130">G180+G191+G196</f>
        <v>1894570.07</v>
      </c>
      <c r="H179" s="53">
        <f t="shared" si="130"/>
        <v>0</v>
      </c>
      <c r="I179" s="53">
        <f t="shared" si="130"/>
        <v>0</v>
      </c>
      <c r="J179" s="53">
        <f t="shared" si="130"/>
        <v>0</v>
      </c>
      <c r="K179" s="53">
        <f t="shared" ref="K179:M179" si="131">K180+K191+K196</f>
        <v>0</v>
      </c>
      <c r="L179" s="53">
        <f t="shared" si="131"/>
        <v>0</v>
      </c>
      <c r="M179" s="53">
        <f t="shared" si="131"/>
        <v>0</v>
      </c>
    </row>
    <row r="180" spans="1:13" outlineLevel="7">
      <c r="A180" s="206" t="s">
        <v>228</v>
      </c>
      <c r="B180" s="38"/>
      <c r="C180" s="93"/>
      <c r="D180" s="34"/>
      <c r="E180" s="31"/>
      <c r="F180" s="163">
        <f t="shared" ref="F180" si="132">SUM(F181:F185)</f>
        <v>2315541</v>
      </c>
      <c r="G180" s="163">
        <f t="shared" ref="G180:J180" si="133">SUM(G181:G185)</f>
        <v>1894570.07</v>
      </c>
      <c r="H180" s="163">
        <f t="shared" si="133"/>
        <v>0</v>
      </c>
      <c r="I180" s="163">
        <f t="shared" si="133"/>
        <v>0</v>
      </c>
      <c r="J180" s="163">
        <f t="shared" si="133"/>
        <v>0</v>
      </c>
      <c r="K180" s="163">
        <f t="shared" ref="K180:M180" si="134">SUM(K181:K185)</f>
        <v>0</v>
      </c>
      <c r="L180" s="163">
        <f t="shared" si="134"/>
        <v>0</v>
      </c>
      <c r="M180" s="163">
        <f t="shared" si="134"/>
        <v>0</v>
      </c>
    </row>
    <row r="181" spans="1:13" outlineLevel="7">
      <c r="A181" s="10" t="s">
        <v>185</v>
      </c>
      <c r="B181" s="26" t="s">
        <v>36</v>
      </c>
      <c r="C181" s="36" t="s">
        <v>178</v>
      </c>
      <c r="D181" s="74" t="s">
        <v>21</v>
      </c>
      <c r="E181" s="26" t="s">
        <v>151</v>
      </c>
      <c r="F181" s="57">
        <v>1581257</v>
      </c>
      <c r="G181" s="57">
        <v>1087846.07</v>
      </c>
      <c r="H181" s="57"/>
      <c r="I181" s="57"/>
      <c r="J181" s="57"/>
      <c r="K181" s="57"/>
      <c r="L181" s="57"/>
      <c r="M181" s="57"/>
    </row>
    <row r="182" spans="1:13" outlineLevel="7">
      <c r="A182" s="10" t="s">
        <v>181</v>
      </c>
      <c r="B182" s="26" t="s">
        <v>36</v>
      </c>
      <c r="C182" s="36" t="s">
        <v>178</v>
      </c>
      <c r="D182" s="74" t="s">
        <v>21</v>
      </c>
      <c r="E182" s="26" t="s">
        <v>74</v>
      </c>
      <c r="F182" s="57">
        <v>709784</v>
      </c>
      <c r="G182" s="57">
        <f>1537211.02-1087846.07+284919.05-24500</f>
        <v>709784</v>
      </c>
      <c r="H182" s="57"/>
      <c r="I182" s="57"/>
      <c r="J182" s="57"/>
      <c r="K182" s="57"/>
      <c r="L182" s="57"/>
      <c r="M182" s="57"/>
    </row>
    <row r="183" spans="1:13" outlineLevel="7">
      <c r="A183" s="10" t="s">
        <v>251</v>
      </c>
      <c r="B183" s="26" t="s">
        <v>36</v>
      </c>
      <c r="C183" s="36" t="s">
        <v>178</v>
      </c>
      <c r="D183" s="74" t="s">
        <v>21</v>
      </c>
      <c r="E183" s="26" t="s">
        <v>52</v>
      </c>
      <c r="F183" s="57"/>
      <c r="G183" s="57">
        <v>72440</v>
      </c>
      <c r="H183" s="57"/>
      <c r="I183" s="57"/>
      <c r="J183" s="57"/>
      <c r="K183" s="57"/>
      <c r="L183" s="57"/>
      <c r="M183" s="57"/>
    </row>
    <row r="184" spans="1:13" outlineLevel="7">
      <c r="A184" s="10" t="s">
        <v>213</v>
      </c>
      <c r="B184" s="26" t="s">
        <v>36</v>
      </c>
      <c r="C184" s="36" t="s">
        <v>178</v>
      </c>
      <c r="D184" s="74" t="s">
        <v>21</v>
      </c>
      <c r="E184" s="26" t="s">
        <v>45</v>
      </c>
      <c r="F184" s="57"/>
      <c r="G184" s="57"/>
      <c r="H184" s="57"/>
      <c r="I184" s="57"/>
      <c r="J184" s="57"/>
      <c r="K184" s="57"/>
      <c r="L184" s="57"/>
      <c r="M184" s="57"/>
    </row>
    <row r="185" spans="1:13" outlineLevel="7">
      <c r="A185" s="10" t="s">
        <v>205</v>
      </c>
      <c r="B185" s="26" t="s">
        <v>36</v>
      </c>
      <c r="C185" s="36" t="s">
        <v>178</v>
      </c>
      <c r="D185" s="74" t="s">
        <v>21</v>
      </c>
      <c r="E185" s="26" t="s">
        <v>74</v>
      </c>
      <c r="F185" s="57">
        <v>24500</v>
      </c>
      <c r="G185" s="57">
        <v>24500</v>
      </c>
      <c r="H185" s="57"/>
      <c r="I185" s="57"/>
      <c r="J185" s="57"/>
      <c r="K185" s="57"/>
      <c r="L185" s="57"/>
      <c r="M185" s="57"/>
    </row>
    <row r="186" spans="1:13" ht="44.25" customHeight="1" outlineLevel="7">
      <c r="A186" s="207" t="s">
        <v>244</v>
      </c>
      <c r="B186" s="38"/>
      <c r="C186" s="93"/>
      <c r="D186" s="34"/>
      <c r="E186" s="31"/>
      <c r="F186" s="63">
        <f t="shared" ref="F186" si="135">SUM(F187:F190)</f>
        <v>0</v>
      </c>
      <c r="G186" s="63"/>
      <c r="H186" s="63">
        <f>SUM(H187:H190)</f>
        <v>3012446</v>
      </c>
      <c r="I186" s="63">
        <f t="shared" ref="I186:J186" si="136">SUM(I187:I190)</f>
        <v>0</v>
      </c>
      <c r="J186" s="63">
        <f t="shared" si="136"/>
        <v>0</v>
      </c>
      <c r="K186" s="63">
        <f>SUM(K187:K190)</f>
        <v>0</v>
      </c>
      <c r="L186" s="63">
        <f t="shared" ref="L186:M186" si="137">SUM(L187:L190)</f>
        <v>0</v>
      </c>
      <c r="M186" s="63">
        <f t="shared" si="137"/>
        <v>0</v>
      </c>
    </row>
    <row r="187" spans="1:13" outlineLevel="7">
      <c r="A187" s="10" t="s">
        <v>185</v>
      </c>
      <c r="B187" s="26" t="s">
        <v>31</v>
      </c>
      <c r="C187" s="36" t="s">
        <v>243</v>
      </c>
      <c r="D187" s="74" t="s">
        <v>21</v>
      </c>
      <c r="E187" s="26" t="s">
        <v>151</v>
      </c>
      <c r="F187" s="57"/>
      <c r="G187" s="57"/>
      <c r="H187" s="57">
        <v>2073703</v>
      </c>
      <c r="I187" s="57"/>
      <c r="J187" s="57"/>
      <c r="K187" s="57"/>
      <c r="L187" s="57"/>
      <c r="M187" s="57"/>
    </row>
    <row r="188" spans="1:13" outlineLevel="7">
      <c r="A188" s="10" t="s">
        <v>249</v>
      </c>
      <c r="B188" s="26" t="s">
        <v>31</v>
      </c>
      <c r="C188" s="36" t="s">
        <v>243</v>
      </c>
      <c r="D188" s="74" t="s">
        <v>21</v>
      </c>
      <c r="E188" s="26" t="s">
        <v>52</v>
      </c>
      <c r="F188" s="57"/>
      <c r="G188" s="57"/>
      <c r="H188" s="57">
        <v>50000</v>
      </c>
      <c r="I188" s="57"/>
      <c r="J188" s="57"/>
      <c r="K188" s="57"/>
      <c r="L188" s="57"/>
      <c r="M188" s="57"/>
    </row>
    <row r="189" spans="1:13" outlineLevel="7">
      <c r="A189" s="10" t="s">
        <v>213</v>
      </c>
      <c r="B189" s="26" t="s">
        <v>31</v>
      </c>
      <c r="C189" s="36" t="s">
        <v>243</v>
      </c>
      <c r="D189" s="74" t="s">
        <v>21</v>
      </c>
      <c r="E189" s="26" t="s">
        <v>45</v>
      </c>
      <c r="F189" s="57"/>
      <c r="G189" s="57"/>
      <c r="H189" s="57">
        <v>859118</v>
      </c>
      <c r="I189" s="57"/>
      <c r="J189" s="57"/>
      <c r="K189" s="57"/>
      <c r="L189" s="57"/>
      <c r="M189" s="57"/>
    </row>
    <row r="190" spans="1:13" outlineLevel="7">
      <c r="A190" s="10" t="s">
        <v>205</v>
      </c>
      <c r="B190" s="26" t="s">
        <v>31</v>
      </c>
      <c r="C190" s="36" t="s">
        <v>243</v>
      </c>
      <c r="D190" s="74" t="s">
        <v>21</v>
      </c>
      <c r="E190" s="26" t="s">
        <v>74</v>
      </c>
      <c r="F190" s="57"/>
      <c r="G190" s="57"/>
      <c r="H190" s="57">
        <v>29625</v>
      </c>
      <c r="I190" s="57"/>
      <c r="J190" s="57"/>
      <c r="K190" s="57"/>
      <c r="L190" s="57"/>
      <c r="M190" s="57"/>
    </row>
    <row r="191" spans="1:13" outlineLevel="7">
      <c r="A191" s="167"/>
      <c r="B191" s="38"/>
      <c r="C191" s="93"/>
      <c r="D191" s="34"/>
      <c r="E191" s="31"/>
      <c r="F191" s="63">
        <f t="shared" ref="F191" si="138">SUM(F192:F195)</f>
        <v>0</v>
      </c>
      <c r="G191" s="63"/>
      <c r="H191" s="63">
        <f t="shared" ref="H191:I191" si="139">SUM(H192:H195)</f>
        <v>0</v>
      </c>
      <c r="I191" s="63">
        <f t="shared" si="139"/>
        <v>0</v>
      </c>
      <c r="J191" s="63">
        <f>SUM(J192:J195)</f>
        <v>0</v>
      </c>
      <c r="K191" s="63">
        <f t="shared" ref="K191:L191" si="140">SUM(K192:K195)</f>
        <v>0</v>
      </c>
      <c r="L191" s="63">
        <f t="shared" si="140"/>
        <v>0</v>
      </c>
      <c r="M191" s="63">
        <f>SUM(M192:M195)</f>
        <v>0</v>
      </c>
    </row>
    <row r="192" spans="1:13" outlineLevel="7">
      <c r="A192" s="10" t="s">
        <v>185</v>
      </c>
      <c r="B192" s="26" t="s">
        <v>36</v>
      </c>
      <c r="C192" s="36" t="s">
        <v>178</v>
      </c>
      <c r="D192" s="74" t="s">
        <v>21</v>
      </c>
      <c r="E192" s="26" t="s">
        <v>151</v>
      </c>
      <c r="F192" s="57"/>
      <c r="G192" s="57"/>
      <c r="H192" s="57"/>
      <c r="I192" s="57"/>
      <c r="J192" s="57"/>
      <c r="K192" s="57"/>
      <c r="L192" s="57"/>
      <c r="M192" s="57"/>
    </row>
    <row r="193" spans="1:13" outlineLevel="7">
      <c r="A193" s="10" t="s">
        <v>181</v>
      </c>
      <c r="B193" s="26" t="s">
        <v>36</v>
      </c>
      <c r="C193" s="36" t="s">
        <v>178</v>
      </c>
      <c r="D193" s="74" t="s">
        <v>21</v>
      </c>
      <c r="E193" s="26" t="s">
        <v>74</v>
      </c>
      <c r="F193" s="57"/>
      <c r="G193" s="57"/>
      <c r="H193" s="57"/>
      <c r="I193" s="57"/>
      <c r="J193" s="57"/>
      <c r="K193" s="57"/>
      <c r="L193" s="57"/>
      <c r="M193" s="57"/>
    </row>
    <row r="194" spans="1:13" outlineLevel="7">
      <c r="A194" s="10" t="s">
        <v>213</v>
      </c>
      <c r="B194" s="26" t="s">
        <v>36</v>
      </c>
      <c r="C194" s="36" t="s">
        <v>178</v>
      </c>
      <c r="D194" s="74" t="s">
        <v>21</v>
      </c>
      <c r="E194" s="26" t="s">
        <v>45</v>
      </c>
      <c r="F194" s="57"/>
      <c r="G194" s="57"/>
      <c r="H194" s="57"/>
      <c r="I194" s="57"/>
      <c r="J194" s="57"/>
      <c r="K194" s="57"/>
      <c r="L194" s="57"/>
      <c r="M194" s="57"/>
    </row>
    <row r="195" spans="1:13" outlineLevel="7">
      <c r="A195" s="10" t="s">
        <v>205</v>
      </c>
      <c r="B195" s="26" t="s">
        <v>36</v>
      </c>
      <c r="C195" s="36" t="s">
        <v>178</v>
      </c>
      <c r="D195" s="74" t="s">
        <v>21</v>
      </c>
      <c r="E195" s="26" t="s">
        <v>74</v>
      </c>
      <c r="F195" s="57"/>
      <c r="G195" s="57"/>
      <c r="H195" s="57"/>
      <c r="I195" s="57"/>
      <c r="J195" s="57"/>
      <c r="K195" s="57"/>
      <c r="L195" s="57"/>
      <c r="M195" s="57"/>
    </row>
    <row r="196" spans="1:13" outlineLevel="7">
      <c r="A196" s="167"/>
      <c r="B196" s="38"/>
      <c r="C196" s="93"/>
      <c r="D196" s="34"/>
      <c r="E196" s="31"/>
      <c r="F196" s="159">
        <f>SUM(F197:F200)</f>
        <v>0</v>
      </c>
      <c r="G196" s="159"/>
      <c r="H196" s="159">
        <f>SUM(H197:H200)</f>
        <v>0</v>
      </c>
      <c r="I196" s="159">
        <f t="shared" ref="I196:J196" si="141">SUM(I197:I200)</f>
        <v>0</v>
      </c>
      <c r="J196" s="159">
        <f t="shared" si="141"/>
        <v>0</v>
      </c>
      <c r="K196" s="159">
        <f>SUM(K197:K200)</f>
        <v>0</v>
      </c>
      <c r="L196" s="159">
        <f t="shared" ref="L196:M196" si="142">SUM(L197:L200)</f>
        <v>0</v>
      </c>
      <c r="M196" s="159">
        <f t="shared" si="142"/>
        <v>0</v>
      </c>
    </row>
    <row r="197" spans="1:13" outlineLevel="7">
      <c r="A197" s="10" t="s">
        <v>185</v>
      </c>
      <c r="B197" s="160" t="s">
        <v>36</v>
      </c>
      <c r="C197" s="161" t="s">
        <v>178</v>
      </c>
      <c r="D197" s="162" t="s">
        <v>21</v>
      </c>
      <c r="E197" s="26" t="s">
        <v>151</v>
      </c>
      <c r="F197" s="58"/>
      <c r="G197" s="58"/>
      <c r="H197" s="58"/>
      <c r="I197" s="58"/>
      <c r="J197" s="58"/>
      <c r="K197" s="58"/>
      <c r="L197" s="58"/>
      <c r="M197" s="58"/>
    </row>
    <row r="198" spans="1:13" outlineLevel="7">
      <c r="A198" s="10" t="s">
        <v>181</v>
      </c>
      <c r="B198" s="160" t="s">
        <v>36</v>
      </c>
      <c r="C198" s="161" t="s">
        <v>178</v>
      </c>
      <c r="D198" s="162" t="s">
        <v>21</v>
      </c>
      <c r="E198" s="26" t="s">
        <v>74</v>
      </c>
      <c r="F198" s="58"/>
      <c r="G198" s="58"/>
      <c r="H198" s="58"/>
      <c r="I198" s="58"/>
      <c r="J198" s="58"/>
      <c r="K198" s="58"/>
      <c r="L198" s="58"/>
      <c r="M198" s="58"/>
    </row>
    <row r="199" spans="1:13" outlineLevel="7">
      <c r="A199" s="10" t="s">
        <v>213</v>
      </c>
      <c r="B199" s="26" t="s">
        <v>36</v>
      </c>
      <c r="C199" s="36" t="s">
        <v>178</v>
      </c>
      <c r="D199" s="74" t="s">
        <v>21</v>
      </c>
      <c r="E199" s="26" t="s">
        <v>45</v>
      </c>
      <c r="F199" s="58"/>
      <c r="G199" s="58"/>
      <c r="H199" s="58"/>
      <c r="I199" s="58"/>
      <c r="J199" s="58"/>
      <c r="K199" s="58"/>
      <c r="L199" s="58"/>
      <c r="M199" s="58"/>
    </row>
    <row r="200" spans="1:13" outlineLevel="7">
      <c r="A200" s="10" t="s">
        <v>182</v>
      </c>
      <c r="B200" s="160" t="s">
        <v>36</v>
      </c>
      <c r="C200" s="161" t="s">
        <v>178</v>
      </c>
      <c r="D200" s="162" t="s">
        <v>21</v>
      </c>
      <c r="E200" s="26" t="s">
        <v>74</v>
      </c>
      <c r="F200" s="58"/>
      <c r="G200" s="58"/>
      <c r="H200" s="58"/>
      <c r="I200" s="58"/>
      <c r="J200" s="58"/>
      <c r="K200" s="58"/>
      <c r="L200" s="58"/>
      <c r="M200" s="58"/>
    </row>
    <row r="201" spans="1:13" ht="31.5" outlineLevel="7">
      <c r="A201" s="105" t="s">
        <v>150</v>
      </c>
      <c r="B201" s="17"/>
      <c r="C201" s="35"/>
      <c r="D201" s="98"/>
      <c r="E201" s="33"/>
      <c r="F201" s="53">
        <f t="shared" ref="F201" si="143">F202+F208</f>
        <v>90000</v>
      </c>
      <c r="G201" s="53">
        <f t="shared" ref="G201" si="144">G202+G208</f>
        <v>810885.24</v>
      </c>
      <c r="H201" s="53">
        <f t="shared" ref="H201:J201" si="145">H202+H208</f>
        <v>1468554</v>
      </c>
      <c r="I201" s="53">
        <f t="shared" si="145"/>
        <v>0</v>
      </c>
      <c r="J201" s="53">
        <f t="shared" si="145"/>
        <v>0</v>
      </c>
      <c r="K201" s="53">
        <f t="shared" ref="K201:M201" si="146">K202+K208</f>
        <v>468554</v>
      </c>
      <c r="L201" s="53">
        <f t="shared" si="146"/>
        <v>0</v>
      </c>
      <c r="M201" s="53">
        <f t="shared" si="146"/>
        <v>0</v>
      </c>
    </row>
    <row r="202" spans="1:13" outlineLevel="7">
      <c r="A202" s="210" t="s">
        <v>260</v>
      </c>
      <c r="B202" s="211"/>
      <c r="C202" s="212"/>
      <c r="D202" s="213"/>
      <c r="E202" s="214"/>
      <c r="F202" s="209">
        <f t="shared" ref="F202" si="147">SUM(F203:F207)</f>
        <v>0</v>
      </c>
      <c r="G202" s="209">
        <f t="shared" ref="G202" si="148">SUM(G203:G207)</f>
        <v>0</v>
      </c>
      <c r="H202" s="209">
        <f t="shared" ref="H202:J202" si="149">SUM(H203:H207)</f>
        <v>1468554</v>
      </c>
      <c r="I202" s="209">
        <f t="shared" si="149"/>
        <v>0</v>
      </c>
      <c r="J202" s="209">
        <f t="shared" si="149"/>
        <v>0</v>
      </c>
      <c r="K202" s="209">
        <f t="shared" ref="K202:M202" si="150">SUM(K203:K207)</f>
        <v>468554</v>
      </c>
      <c r="L202" s="209">
        <f t="shared" si="150"/>
        <v>0</v>
      </c>
      <c r="M202" s="209">
        <f t="shared" si="150"/>
        <v>0</v>
      </c>
    </row>
    <row r="203" spans="1:13" ht="25.5" outlineLevel="7">
      <c r="A203" s="8" t="s">
        <v>250</v>
      </c>
      <c r="B203" s="118" t="s">
        <v>36</v>
      </c>
      <c r="C203" s="183" t="s">
        <v>261</v>
      </c>
      <c r="D203" s="117" t="s">
        <v>21</v>
      </c>
      <c r="E203" s="24" t="s">
        <v>151</v>
      </c>
      <c r="F203" s="58"/>
      <c r="G203" s="58"/>
      <c r="H203" s="58">
        <v>1000000</v>
      </c>
      <c r="I203" s="58"/>
      <c r="J203" s="58"/>
      <c r="K203" s="58"/>
      <c r="L203" s="58"/>
      <c r="M203" s="58"/>
    </row>
    <row r="204" spans="1:13" outlineLevel="7">
      <c r="A204" s="9" t="s">
        <v>249</v>
      </c>
      <c r="B204" s="118" t="s">
        <v>36</v>
      </c>
      <c r="C204" s="183" t="s">
        <v>261</v>
      </c>
      <c r="D204" s="117" t="s">
        <v>21</v>
      </c>
      <c r="E204" s="24" t="s">
        <v>52</v>
      </c>
      <c r="F204" s="58"/>
      <c r="G204" s="58"/>
      <c r="H204" s="58">
        <v>50000</v>
      </c>
      <c r="I204" s="58"/>
      <c r="J204" s="58"/>
      <c r="K204" s="58">
        <v>50000</v>
      </c>
      <c r="L204" s="58"/>
      <c r="M204" s="58"/>
    </row>
    <row r="205" spans="1:13" outlineLevel="7">
      <c r="A205" s="9" t="s">
        <v>161</v>
      </c>
      <c r="B205" s="118" t="s">
        <v>36</v>
      </c>
      <c r="C205" s="183" t="s">
        <v>261</v>
      </c>
      <c r="D205" s="117" t="s">
        <v>21</v>
      </c>
      <c r="E205" s="24" t="s">
        <v>74</v>
      </c>
      <c r="F205" s="58"/>
      <c r="G205" s="58"/>
      <c r="H205" s="58">
        <v>361554</v>
      </c>
      <c r="I205" s="58"/>
      <c r="J205" s="58"/>
      <c r="K205" s="58">
        <v>361554</v>
      </c>
      <c r="L205" s="58"/>
      <c r="M205" s="58"/>
    </row>
    <row r="206" spans="1:13" outlineLevel="7">
      <c r="A206" s="9" t="s">
        <v>149</v>
      </c>
      <c r="B206" s="118" t="s">
        <v>36</v>
      </c>
      <c r="C206" s="183" t="s">
        <v>261</v>
      </c>
      <c r="D206" s="117" t="s">
        <v>21</v>
      </c>
      <c r="E206" s="24" t="s">
        <v>45</v>
      </c>
      <c r="F206" s="58"/>
      <c r="G206" s="58"/>
      <c r="H206" s="58"/>
      <c r="I206" s="58"/>
      <c r="J206" s="58"/>
      <c r="K206" s="58"/>
      <c r="L206" s="58"/>
      <c r="M206" s="58"/>
    </row>
    <row r="207" spans="1:13" outlineLevel="7">
      <c r="A207" s="9" t="s">
        <v>229</v>
      </c>
      <c r="B207" s="118" t="s">
        <v>36</v>
      </c>
      <c r="C207" s="183" t="s">
        <v>261</v>
      </c>
      <c r="D207" s="117" t="s">
        <v>21</v>
      </c>
      <c r="E207" s="24" t="s">
        <v>74</v>
      </c>
      <c r="F207" s="58"/>
      <c r="G207" s="58"/>
      <c r="H207" s="58">
        <v>57000</v>
      </c>
      <c r="I207" s="58"/>
      <c r="J207" s="58"/>
      <c r="K207" s="58">
        <v>57000</v>
      </c>
      <c r="L207" s="58"/>
      <c r="M207" s="58"/>
    </row>
    <row r="208" spans="1:13" ht="38.25" outlineLevel="7">
      <c r="A208" s="215" t="s">
        <v>235</v>
      </c>
      <c r="B208" s="211"/>
      <c r="C208" s="212"/>
      <c r="D208" s="213"/>
      <c r="E208" s="214"/>
      <c r="F208" s="216">
        <f t="shared" ref="F208:G208" si="151">SUM(F209:F214)</f>
        <v>90000</v>
      </c>
      <c r="G208" s="216">
        <f t="shared" si="151"/>
        <v>810885.24</v>
      </c>
      <c r="H208" s="216">
        <f t="shared" ref="H208:J208" si="152">SUM(H209:H214)</f>
        <v>0</v>
      </c>
      <c r="I208" s="216">
        <f t="shared" si="152"/>
        <v>0</v>
      </c>
      <c r="J208" s="216">
        <f t="shared" si="152"/>
        <v>0</v>
      </c>
      <c r="K208" s="216">
        <f t="shared" ref="K208:M208" si="153">SUM(K209:K214)</f>
        <v>0</v>
      </c>
      <c r="L208" s="216">
        <f t="shared" si="153"/>
        <v>0</v>
      </c>
      <c r="M208" s="216">
        <f t="shared" si="153"/>
        <v>0</v>
      </c>
    </row>
    <row r="209" spans="1:13" ht="30" customHeight="1" outlineLevel="7">
      <c r="A209" s="8" t="s">
        <v>250</v>
      </c>
      <c r="B209" s="33" t="s">
        <v>36</v>
      </c>
      <c r="C209" s="71" t="s">
        <v>242</v>
      </c>
      <c r="D209" s="102" t="s">
        <v>21</v>
      </c>
      <c r="E209" s="22" t="s">
        <v>151</v>
      </c>
      <c r="F209" s="58"/>
      <c r="G209" s="58">
        <v>670564.24</v>
      </c>
      <c r="H209" s="58"/>
      <c r="I209" s="58"/>
      <c r="J209" s="58"/>
      <c r="K209" s="58"/>
      <c r="L209" s="58"/>
      <c r="M209" s="58"/>
    </row>
    <row r="210" spans="1:13" outlineLevel="7">
      <c r="A210" s="8" t="s">
        <v>161</v>
      </c>
      <c r="B210" s="33" t="s">
        <v>36</v>
      </c>
      <c r="C210" s="71" t="s">
        <v>242</v>
      </c>
      <c r="D210" s="102" t="s">
        <v>21</v>
      </c>
      <c r="E210" s="22" t="s">
        <v>74</v>
      </c>
      <c r="F210" s="58">
        <v>50000</v>
      </c>
      <c r="G210" s="58">
        <v>36845</v>
      </c>
      <c r="H210" s="58"/>
      <c r="I210" s="58"/>
      <c r="J210" s="58"/>
      <c r="K210" s="58"/>
      <c r="L210" s="58"/>
      <c r="M210" s="58"/>
    </row>
    <row r="211" spans="1:13" outlineLevel="7">
      <c r="A211" s="8" t="s">
        <v>149</v>
      </c>
      <c r="B211" s="33" t="s">
        <v>36</v>
      </c>
      <c r="C211" s="71" t="s">
        <v>242</v>
      </c>
      <c r="D211" s="102" t="s">
        <v>21</v>
      </c>
      <c r="E211" s="22" t="s">
        <v>45</v>
      </c>
      <c r="F211" s="58"/>
      <c r="G211" s="58"/>
      <c r="H211" s="58"/>
      <c r="I211" s="58"/>
      <c r="J211" s="58"/>
      <c r="K211" s="58"/>
      <c r="L211" s="58"/>
      <c r="M211" s="58"/>
    </row>
    <row r="212" spans="1:13" outlineLevel="7">
      <c r="A212" s="8" t="s">
        <v>186</v>
      </c>
      <c r="B212" s="33" t="s">
        <v>36</v>
      </c>
      <c r="C212" s="71" t="s">
        <v>242</v>
      </c>
      <c r="D212" s="102" t="s">
        <v>21</v>
      </c>
      <c r="E212" s="22" t="s">
        <v>74</v>
      </c>
      <c r="F212" s="58"/>
      <c r="G212" s="58"/>
      <c r="H212" s="58"/>
      <c r="I212" s="58"/>
      <c r="J212" s="58"/>
      <c r="K212" s="58"/>
      <c r="L212" s="58"/>
      <c r="M212" s="58"/>
    </row>
    <row r="213" spans="1:13" outlineLevel="7">
      <c r="A213" s="8" t="s">
        <v>249</v>
      </c>
      <c r="B213" s="33" t="s">
        <v>36</v>
      </c>
      <c r="C213" s="208" t="s">
        <v>242</v>
      </c>
      <c r="D213" s="102" t="s">
        <v>21</v>
      </c>
      <c r="E213" s="22" t="s">
        <v>52</v>
      </c>
      <c r="F213" s="58"/>
      <c r="G213" s="58">
        <v>74000</v>
      </c>
      <c r="H213" s="58"/>
      <c r="I213" s="58"/>
      <c r="J213" s="58"/>
      <c r="K213" s="58"/>
      <c r="L213" s="58"/>
      <c r="M213" s="58"/>
    </row>
    <row r="214" spans="1:13" outlineLevel="7">
      <c r="A214" s="8" t="s">
        <v>229</v>
      </c>
      <c r="B214" s="33" t="s">
        <v>36</v>
      </c>
      <c r="C214" s="71" t="s">
        <v>242</v>
      </c>
      <c r="D214" s="102" t="s">
        <v>21</v>
      </c>
      <c r="E214" s="22" t="s">
        <v>74</v>
      </c>
      <c r="F214" s="58">
        <v>40000</v>
      </c>
      <c r="G214" s="58">
        <v>29476</v>
      </c>
      <c r="H214" s="58"/>
      <c r="I214" s="58"/>
      <c r="J214" s="58"/>
      <c r="K214" s="58"/>
      <c r="L214" s="58"/>
      <c r="M214" s="58"/>
    </row>
    <row r="215" spans="1:13" outlineLevel="7">
      <c r="A215" s="128" t="s">
        <v>148</v>
      </c>
      <c r="B215" s="129"/>
      <c r="C215" s="130"/>
      <c r="D215" s="129"/>
      <c r="E215" s="129"/>
      <c r="F215" s="89">
        <f t="shared" ref="F215:M215" si="154">F216</f>
        <v>36100</v>
      </c>
      <c r="G215" s="89">
        <f t="shared" si="154"/>
        <v>36100</v>
      </c>
      <c r="H215" s="89">
        <f t="shared" si="154"/>
        <v>44848</v>
      </c>
      <c r="I215" s="89">
        <f t="shared" si="154"/>
        <v>49434</v>
      </c>
      <c r="J215" s="89">
        <f t="shared" si="154"/>
        <v>54097</v>
      </c>
      <c r="K215" s="89">
        <f t="shared" si="154"/>
        <v>44848</v>
      </c>
      <c r="L215" s="89">
        <f t="shared" si="154"/>
        <v>49434</v>
      </c>
      <c r="M215" s="89">
        <f t="shared" si="154"/>
        <v>54097</v>
      </c>
    </row>
    <row r="216" spans="1:13">
      <c r="A216" s="125" t="s">
        <v>46</v>
      </c>
      <c r="B216" s="126"/>
      <c r="C216" s="127"/>
      <c r="D216" s="126"/>
      <c r="E216" s="126"/>
      <c r="F216" s="66">
        <f t="shared" ref="F216:M216" si="155">F217</f>
        <v>36100</v>
      </c>
      <c r="G216" s="66">
        <f t="shared" si="155"/>
        <v>36100</v>
      </c>
      <c r="H216" s="66">
        <f t="shared" si="155"/>
        <v>44848</v>
      </c>
      <c r="I216" s="66">
        <f t="shared" si="155"/>
        <v>49434</v>
      </c>
      <c r="J216" s="66">
        <f t="shared" si="155"/>
        <v>54097</v>
      </c>
      <c r="K216" s="66">
        <f t="shared" si="155"/>
        <v>44848</v>
      </c>
      <c r="L216" s="66">
        <f t="shared" si="155"/>
        <v>49434</v>
      </c>
      <c r="M216" s="66">
        <f t="shared" si="155"/>
        <v>54097</v>
      </c>
    </row>
    <row r="217" spans="1:13" ht="25.5">
      <c r="A217" s="7" t="s">
        <v>47</v>
      </c>
      <c r="B217" s="17" t="s">
        <v>48</v>
      </c>
      <c r="C217" s="18"/>
      <c r="D217" s="17"/>
      <c r="E217" s="17"/>
      <c r="F217" s="53">
        <f t="shared" ref="F217:G217" si="156">F218+F219</f>
        <v>36100</v>
      </c>
      <c r="G217" s="53">
        <f t="shared" si="156"/>
        <v>36100</v>
      </c>
      <c r="H217" s="53">
        <f t="shared" ref="H217:J217" si="157">H218+H219</f>
        <v>44848</v>
      </c>
      <c r="I217" s="53">
        <f t="shared" si="157"/>
        <v>49434</v>
      </c>
      <c r="J217" s="53">
        <f t="shared" si="157"/>
        <v>54097</v>
      </c>
      <c r="K217" s="53">
        <f t="shared" ref="K217:M217" si="158">K218+K219</f>
        <v>44848</v>
      </c>
      <c r="L217" s="53">
        <f t="shared" si="158"/>
        <v>49434</v>
      </c>
      <c r="M217" s="53">
        <f t="shared" si="158"/>
        <v>54097</v>
      </c>
    </row>
    <row r="218" spans="1:13">
      <c r="A218" s="4" t="s">
        <v>49</v>
      </c>
      <c r="B218" s="19" t="s">
        <v>48</v>
      </c>
      <c r="C218" s="37" t="s">
        <v>59</v>
      </c>
      <c r="D218" s="19" t="s">
        <v>18</v>
      </c>
      <c r="E218" s="19" t="s">
        <v>50</v>
      </c>
      <c r="F218" s="55">
        <v>27727</v>
      </c>
      <c r="G218" s="55">
        <v>27727</v>
      </c>
      <c r="H218" s="55">
        <v>34446</v>
      </c>
      <c r="I218" s="55">
        <v>37968</v>
      </c>
      <c r="J218" s="55">
        <v>41549</v>
      </c>
      <c r="K218" s="55">
        <v>34446</v>
      </c>
      <c r="L218" s="55">
        <v>37968</v>
      </c>
      <c r="M218" s="55">
        <v>41549</v>
      </c>
    </row>
    <row r="219" spans="1:13">
      <c r="A219" s="4" t="s">
        <v>51</v>
      </c>
      <c r="B219" s="19" t="s">
        <v>48</v>
      </c>
      <c r="C219" s="37" t="s">
        <v>59</v>
      </c>
      <c r="D219" s="19" t="s">
        <v>53</v>
      </c>
      <c r="E219" s="19" t="s">
        <v>50</v>
      </c>
      <c r="F219" s="55">
        <v>8373</v>
      </c>
      <c r="G219" s="55">
        <v>8373</v>
      </c>
      <c r="H219" s="55">
        <v>10402</v>
      </c>
      <c r="I219" s="55">
        <v>11466</v>
      </c>
      <c r="J219" s="55">
        <v>12548</v>
      </c>
      <c r="K219" s="55">
        <v>10402</v>
      </c>
      <c r="L219" s="55">
        <v>11466</v>
      </c>
      <c r="M219" s="55">
        <v>12548</v>
      </c>
    </row>
    <row r="220" spans="1:13">
      <c r="F220" s="6"/>
      <c r="G220" s="6"/>
      <c r="H220" s="6"/>
      <c r="I220" s="6"/>
      <c r="J220" s="6"/>
      <c r="K220" s="6"/>
      <c r="L220" s="6"/>
      <c r="M220" s="6"/>
    </row>
    <row r="221" spans="1:13">
      <c r="F221" s="6"/>
      <c r="G221" s="6"/>
      <c r="H221" s="6"/>
      <c r="I221" s="6"/>
      <c r="J221" s="6"/>
      <c r="K221" s="6"/>
      <c r="L221" s="6"/>
      <c r="M221" s="6"/>
    </row>
    <row r="222" spans="1:13">
      <c r="A222" s="13" t="s">
        <v>155</v>
      </c>
      <c r="F222" s="6"/>
      <c r="G222" s="6"/>
      <c r="H222" s="6"/>
      <c r="I222" s="6"/>
      <c r="J222" s="6"/>
      <c r="K222" s="6"/>
      <c r="L222" s="6"/>
      <c r="M222" s="6"/>
    </row>
    <row r="223" spans="1:13">
      <c r="F223" s="6"/>
      <c r="G223" s="6"/>
      <c r="H223" s="6"/>
      <c r="I223" s="6"/>
      <c r="J223" s="6"/>
      <c r="K223" s="6"/>
      <c r="L223" s="6"/>
      <c r="M223" s="6"/>
    </row>
    <row r="224" spans="1:13">
      <c r="F224" s="6"/>
      <c r="G224" s="6"/>
      <c r="H224" s="6"/>
      <c r="I224" s="6"/>
      <c r="J224" s="6"/>
      <c r="K224" s="6"/>
      <c r="L224" s="6"/>
      <c r="M224" s="6"/>
    </row>
    <row r="225" spans="1:13">
      <c r="A225" s="13" t="s">
        <v>82</v>
      </c>
      <c r="F225" s="6"/>
      <c r="G225" s="6"/>
      <c r="H225" s="6"/>
      <c r="I225" s="6"/>
      <c r="J225" s="6"/>
      <c r="K225" s="6"/>
      <c r="L225" s="6"/>
      <c r="M225" s="6"/>
    </row>
    <row r="226" spans="1:13">
      <c r="F226" s="6"/>
      <c r="G226" s="6"/>
      <c r="H226" s="6"/>
      <c r="I226" s="6"/>
      <c r="J226" s="6"/>
      <c r="K226" s="6"/>
      <c r="L226" s="6"/>
      <c r="M226" s="6"/>
    </row>
    <row r="227" spans="1:13">
      <c r="F227" s="6"/>
      <c r="G227" s="6"/>
      <c r="H227" s="6"/>
      <c r="I227" s="6"/>
      <c r="J227" s="6"/>
      <c r="K227" s="6"/>
      <c r="L227" s="6"/>
      <c r="M227" s="6"/>
    </row>
    <row r="228" spans="1:13">
      <c r="F228" s="6"/>
      <c r="G228" s="6"/>
      <c r="H228" s="6"/>
      <c r="I228" s="6"/>
      <c r="J228" s="6"/>
      <c r="K228" s="6"/>
      <c r="L228" s="6"/>
      <c r="M228" s="6"/>
    </row>
    <row r="229" spans="1:13">
      <c r="F229" s="6"/>
      <c r="G229" s="6"/>
      <c r="H229" s="6"/>
      <c r="I229" s="6"/>
      <c r="J229" s="6"/>
      <c r="K229" s="6"/>
      <c r="L229" s="6"/>
      <c r="M229" s="6"/>
    </row>
    <row r="230" spans="1:13">
      <c r="F230" s="6"/>
      <c r="G230" s="6"/>
      <c r="H230" s="6"/>
      <c r="I230" s="6"/>
      <c r="J230" s="6"/>
      <c r="K230" s="6"/>
      <c r="L230" s="6"/>
      <c r="M230" s="6"/>
    </row>
    <row r="231" spans="1:13">
      <c r="F231" s="6"/>
      <c r="G231" s="6"/>
      <c r="H231" s="6"/>
      <c r="I231" s="6"/>
      <c r="J231" s="6"/>
      <c r="K231" s="6"/>
      <c r="L231" s="6"/>
      <c r="M231" s="6"/>
    </row>
    <row r="232" spans="1:13">
      <c r="F232" s="6"/>
      <c r="G232" s="6"/>
      <c r="H232" s="6"/>
      <c r="I232" s="6"/>
      <c r="J232" s="6"/>
      <c r="K232" s="6"/>
      <c r="L232" s="6"/>
      <c r="M232" s="6"/>
    </row>
    <row r="233" spans="1:13">
      <c r="F233" s="6"/>
      <c r="G233" s="6"/>
      <c r="H233" s="6"/>
      <c r="I233" s="6"/>
      <c r="J233" s="6"/>
      <c r="K233" s="6"/>
      <c r="L233" s="6"/>
      <c r="M233" s="6"/>
    </row>
    <row r="234" spans="1:13">
      <c r="F234" s="6"/>
      <c r="G234" s="6"/>
      <c r="H234" s="6"/>
      <c r="I234" s="6"/>
      <c r="J234" s="6"/>
      <c r="K234" s="6"/>
      <c r="L234" s="6"/>
      <c r="M234" s="6"/>
    </row>
    <row r="235" spans="1:13">
      <c r="F235" s="6"/>
      <c r="G235" s="6"/>
      <c r="H235" s="6"/>
      <c r="I235" s="6"/>
      <c r="J235" s="6"/>
      <c r="K235" s="6"/>
      <c r="L235" s="6"/>
      <c r="M235" s="6"/>
    </row>
    <row r="236" spans="1:13">
      <c r="F236" s="6"/>
      <c r="G236" s="6"/>
      <c r="H236" s="6"/>
      <c r="I236" s="6"/>
      <c r="J236" s="6"/>
      <c r="K236" s="6"/>
      <c r="L236" s="6"/>
      <c r="M236" s="6"/>
    </row>
    <row r="237" spans="1:13">
      <c r="F237" s="6"/>
      <c r="G237" s="6"/>
      <c r="H237" s="6"/>
      <c r="I237" s="6"/>
      <c r="J237" s="6"/>
      <c r="K237" s="6"/>
      <c r="L237" s="6"/>
      <c r="M237" s="6"/>
    </row>
    <row r="238" spans="1:13">
      <c r="F238" s="6"/>
      <c r="G238" s="6"/>
      <c r="H238" s="6"/>
      <c r="I238" s="6"/>
      <c r="J238" s="6"/>
      <c r="K238" s="6"/>
      <c r="L238" s="6"/>
      <c r="M238" s="6"/>
    </row>
    <row r="239" spans="1:13">
      <c r="F239" s="6"/>
      <c r="G239" s="6"/>
      <c r="H239" s="6"/>
      <c r="I239" s="6"/>
      <c r="J239" s="6"/>
      <c r="K239" s="6"/>
      <c r="L239" s="6"/>
      <c r="M239" s="6"/>
    </row>
    <row r="240" spans="1:13">
      <c r="F240" s="6"/>
      <c r="G240" s="6"/>
      <c r="H240" s="6"/>
      <c r="I240" s="6"/>
      <c r="J240" s="6"/>
      <c r="K240" s="6"/>
      <c r="L240" s="6"/>
      <c r="M240" s="6"/>
    </row>
    <row r="241" spans="6:13">
      <c r="F241" s="6"/>
      <c r="G241" s="6"/>
      <c r="H241" s="6"/>
      <c r="I241" s="6"/>
      <c r="J241" s="6"/>
      <c r="K241" s="6"/>
      <c r="L241" s="6"/>
      <c r="M241" s="6"/>
    </row>
  </sheetData>
  <sheetProtection selectLockedCells="1" selectUnlockedCells="1"/>
  <mergeCells count="23">
    <mergeCell ref="B108:E108"/>
    <mergeCell ref="B6:E6"/>
    <mergeCell ref="B8:E8"/>
    <mergeCell ref="B9:E9"/>
    <mergeCell ref="B12:E12"/>
    <mergeCell ref="B13:E13"/>
    <mergeCell ref="B15:E15"/>
    <mergeCell ref="B158:B159"/>
    <mergeCell ref="C158:C159"/>
    <mergeCell ref="D158:D159"/>
    <mergeCell ref="E158:E159"/>
    <mergeCell ref="A1:M1"/>
    <mergeCell ref="A2:M2"/>
    <mergeCell ref="A3:M3"/>
    <mergeCell ref="A4:A5"/>
    <mergeCell ref="B4:E4"/>
    <mergeCell ref="F4:F5"/>
    <mergeCell ref="H4:J4"/>
    <mergeCell ref="K4:M4"/>
    <mergeCell ref="G4:G5"/>
    <mergeCell ref="B19:E19"/>
    <mergeCell ref="B96:E96"/>
    <mergeCell ref="B98:E98"/>
  </mergeCells>
  <pageMargins left="0.19685039370078741" right="0.19685039370078741" top="0" bottom="0" header="0.51181102362204722" footer="0.31496062992125984"/>
  <pageSetup paperSize="9" scale="70" firstPageNumber="0" fitToHeight="200" orientation="landscape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M241"/>
  <sheetViews>
    <sheetView showGridLines="0" tabSelected="1" workbookViewId="0">
      <pane xSplit="2" ySplit="18" topLeftCell="C181" activePane="bottomRight" state="frozen"/>
      <selection pane="topRight" activeCell="C1" sqref="C1"/>
      <selection pane="bottomLeft" activeCell="A16" sqref="A16"/>
      <selection pane="bottomRight" activeCell="D196" sqref="D196"/>
    </sheetView>
  </sheetViews>
  <sheetFormatPr defaultRowHeight="12.75" outlineLevelRow="7"/>
  <cols>
    <col min="1" max="1" width="73.28515625" style="1" customWidth="1"/>
    <col min="2" max="2" width="5.85546875" style="1" customWidth="1"/>
    <col min="3" max="3" width="13.140625" style="1" customWidth="1"/>
    <col min="4" max="4" width="5.5703125" style="1" customWidth="1"/>
    <col min="5" max="5" width="5.28515625" style="1" customWidth="1"/>
    <col min="6" max="7" width="12.28515625" style="1" customWidth="1"/>
    <col min="8" max="8" width="12.5703125" style="1" customWidth="1"/>
    <col min="9" max="9" width="12.85546875" style="1" customWidth="1"/>
    <col min="10" max="10" width="12.42578125" style="1" customWidth="1"/>
    <col min="11" max="11" width="12.5703125" style="1" customWidth="1"/>
    <col min="12" max="12" width="12.28515625" style="1" customWidth="1"/>
    <col min="13" max="13" width="13.42578125" style="1" customWidth="1"/>
    <col min="14" max="16384" width="9.140625" style="1"/>
  </cols>
  <sheetData>
    <row r="1" spans="1:13" ht="15.75" customHeight="1">
      <c r="A1" s="244" t="s">
        <v>236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</row>
    <row r="2" spans="1:13" ht="15.75">
      <c r="A2" s="245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3">
      <c r="A3" s="246" t="s">
        <v>0</v>
      </c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</row>
    <row r="4" spans="1:13" ht="54.6" customHeight="1">
      <c r="A4" s="247" t="s">
        <v>1</v>
      </c>
      <c r="B4" s="248" t="s">
        <v>60</v>
      </c>
      <c r="C4" s="249"/>
      <c r="D4" s="249"/>
      <c r="E4" s="250"/>
      <c r="F4" s="251" t="s">
        <v>219</v>
      </c>
      <c r="G4" s="247" t="s">
        <v>246</v>
      </c>
      <c r="H4" s="253" t="s">
        <v>6</v>
      </c>
      <c r="I4" s="254"/>
      <c r="J4" s="255"/>
      <c r="K4" s="253" t="s">
        <v>7</v>
      </c>
      <c r="L4" s="254"/>
      <c r="M4" s="255"/>
    </row>
    <row r="5" spans="1:13" ht="25.5">
      <c r="A5" s="247"/>
      <c r="B5" s="237" t="s">
        <v>2</v>
      </c>
      <c r="C5" s="237" t="s">
        <v>3</v>
      </c>
      <c r="D5" s="237" t="s">
        <v>4</v>
      </c>
      <c r="E5" s="237" t="s">
        <v>5</v>
      </c>
      <c r="F5" s="252"/>
      <c r="G5" s="247"/>
      <c r="H5" s="2" t="s">
        <v>192</v>
      </c>
      <c r="I5" s="2" t="s">
        <v>220</v>
      </c>
      <c r="J5" s="2" t="s">
        <v>237</v>
      </c>
      <c r="K5" s="2" t="s">
        <v>192</v>
      </c>
      <c r="L5" s="2" t="s">
        <v>220</v>
      </c>
      <c r="M5" s="2" t="s">
        <v>237</v>
      </c>
    </row>
    <row r="6" spans="1:13" ht="15">
      <c r="A6" s="14" t="s">
        <v>8</v>
      </c>
      <c r="B6" s="266"/>
      <c r="C6" s="267"/>
      <c r="D6" s="267"/>
      <c r="E6" s="268"/>
      <c r="F6" s="49">
        <f t="shared" ref="F6:K6" si="0">F8-F15</f>
        <v>0</v>
      </c>
      <c r="G6" s="49">
        <f t="shared" si="0"/>
        <v>-1234638.7999999998</v>
      </c>
      <c r="H6" s="49">
        <f t="shared" si="0"/>
        <v>-1761161</v>
      </c>
      <c r="I6" s="49">
        <f t="shared" si="0"/>
        <v>45336</v>
      </c>
      <c r="J6" s="49">
        <f t="shared" si="0"/>
        <v>25915</v>
      </c>
      <c r="K6" s="49">
        <f t="shared" si="0"/>
        <v>0</v>
      </c>
      <c r="L6" s="49">
        <f>L8-L15</f>
        <v>0</v>
      </c>
      <c r="M6" s="49">
        <f>M8-M15</f>
        <v>0</v>
      </c>
    </row>
    <row r="7" spans="1:13" ht="14.25">
      <c r="A7" s="175" t="s">
        <v>218</v>
      </c>
      <c r="B7" s="176"/>
      <c r="C7" s="177"/>
      <c r="D7" s="177"/>
      <c r="E7" s="178"/>
      <c r="F7" s="179">
        <f t="shared" ref="F7:G7" si="1">F14-F18</f>
        <v>0</v>
      </c>
      <c r="G7" s="179">
        <f t="shared" si="1"/>
        <v>-1234638.7999999998</v>
      </c>
      <c r="H7" s="179">
        <f>H14-H18</f>
        <v>-1761161</v>
      </c>
      <c r="I7" s="179">
        <f t="shared" ref="I7:J7" si="2">I14-I18</f>
        <v>45336</v>
      </c>
      <c r="J7" s="179">
        <f t="shared" si="2"/>
        <v>25915</v>
      </c>
      <c r="K7" s="179">
        <f>K14-K18</f>
        <v>0</v>
      </c>
      <c r="L7" s="179">
        <f>L14-L18-86000</f>
        <v>4.6566128730773926E-10</v>
      </c>
      <c r="M7" s="179">
        <f>M14-M18-171500</f>
        <v>0</v>
      </c>
    </row>
    <row r="8" spans="1:13" ht="15">
      <c r="A8" s="14" t="s">
        <v>84</v>
      </c>
      <c r="B8" s="266"/>
      <c r="C8" s="267"/>
      <c r="D8" s="267"/>
      <c r="E8" s="268"/>
      <c r="F8" s="49">
        <f>SUM(F9:F13)</f>
        <v>6268850</v>
      </c>
      <c r="G8" s="49">
        <f>SUM(G9:G13)</f>
        <v>6501479.3100000005</v>
      </c>
      <c r="H8" s="49">
        <f>SUM(H9:H13)</f>
        <v>8603042</v>
      </c>
      <c r="I8" s="49">
        <f t="shared" ref="I8:J8" si="3">SUM(I9:I13)</f>
        <v>4312375</v>
      </c>
      <c r="J8" s="49">
        <f t="shared" si="3"/>
        <v>4317038</v>
      </c>
      <c r="K8" s="49">
        <f>SUM(K9:K13)</f>
        <v>4324329</v>
      </c>
      <c r="L8" s="49">
        <f t="shared" ref="L8:M8" si="4">SUM(L9:L13)</f>
        <v>5468715.8499999996</v>
      </c>
      <c r="M8" s="49">
        <f t="shared" si="4"/>
        <v>3473369</v>
      </c>
    </row>
    <row r="9" spans="1:13" ht="25.5">
      <c r="A9" s="15" t="s">
        <v>214</v>
      </c>
      <c r="B9" s="266"/>
      <c r="C9" s="267"/>
      <c r="D9" s="267"/>
      <c r="E9" s="268"/>
      <c r="F9" s="50">
        <f>1677247+F185+F190+F195+F200+F207+F212+F214</f>
        <v>1741747</v>
      </c>
      <c r="G9" s="50">
        <f>1706723+G185+G190+G195+G200+G212</f>
        <v>1731223</v>
      </c>
      <c r="H9" s="50">
        <f>1640632+H185+H190+H195+H200+H212</f>
        <v>1670257</v>
      </c>
      <c r="I9" s="50">
        <f>1583632+I185+I190+I195+I200+I212</f>
        <v>1583632</v>
      </c>
      <c r="J9" s="50">
        <f>1583632+J185+J190+J195+J200+J212</f>
        <v>1583632</v>
      </c>
      <c r="K9" s="50">
        <f>1640632+K185+K190+K195+K200+K212</f>
        <v>1640632</v>
      </c>
      <c r="L9" s="50">
        <f>1583632+L185+L190+L195+L200+L212</f>
        <v>1583632</v>
      </c>
      <c r="M9" s="50">
        <f>1583632+M185+M190+M195+M200+M212</f>
        <v>1583632</v>
      </c>
    </row>
    <row r="10" spans="1:13" ht="15">
      <c r="A10" s="15" t="s">
        <v>85</v>
      </c>
      <c r="B10" s="234"/>
      <c r="C10" s="235"/>
      <c r="D10" s="235"/>
      <c r="E10" s="236"/>
      <c r="F10" s="50">
        <f>F181+F187+F192+F197+F203+F209</f>
        <v>1581257</v>
      </c>
      <c r="G10" s="50">
        <f>G181+G187+G192+G197+G203+G209</f>
        <v>1758410.31</v>
      </c>
      <c r="H10" s="50">
        <f>H181+H187+H192+H197+H203+H209</f>
        <v>3073703</v>
      </c>
      <c r="I10" s="50">
        <f t="shared" ref="I10:J10" si="5">I181+I187+I192+I197+I203+I209</f>
        <v>0</v>
      </c>
      <c r="J10" s="50">
        <f t="shared" si="5"/>
        <v>0</v>
      </c>
      <c r="K10" s="50">
        <f>K181+K187+K192+K197+K203+K209</f>
        <v>0</v>
      </c>
      <c r="L10" s="50">
        <f t="shared" ref="L10:M10" si="6">L181+L187+L192+L197+L203+L209</f>
        <v>1999999.85</v>
      </c>
      <c r="M10" s="50">
        <f t="shared" si="6"/>
        <v>0</v>
      </c>
    </row>
    <row r="11" spans="1:13" ht="15">
      <c r="A11" s="15" t="s">
        <v>86</v>
      </c>
      <c r="B11" s="234"/>
      <c r="C11" s="235"/>
      <c r="D11" s="235"/>
      <c r="E11" s="236"/>
      <c r="F11" s="50">
        <f>F216</f>
        <v>36100</v>
      </c>
      <c r="G11" s="50">
        <f>G216</f>
        <v>36100</v>
      </c>
      <c r="H11" s="50">
        <f>H216</f>
        <v>44848</v>
      </c>
      <c r="I11" s="50">
        <f t="shared" ref="I11:J11" si="7">I216</f>
        <v>49434</v>
      </c>
      <c r="J11" s="50">
        <f t="shared" si="7"/>
        <v>54097</v>
      </c>
      <c r="K11" s="50">
        <f>K216</f>
        <v>44848</v>
      </c>
      <c r="L11" s="50">
        <f t="shared" ref="L11:M11" si="8">L216</f>
        <v>49434</v>
      </c>
      <c r="M11" s="50">
        <f t="shared" si="8"/>
        <v>54097</v>
      </c>
    </row>
    <row r="12" spans="1:13" ht="15">
      <c r="A12" s="16" t="s">
        <v>9</v>
      </c>
      <c r="B12" s="266"/>
      <c r="C12" s="267"/>
      <c r="D12" s="267"/>
      <c r="E12" s="268"/>
      <c r="F12" s="51">
        <f>F92+F95+F102+F109+F134+F144+F147+F163+F184+F189+F194+F199+F206+F211</f>
        <v>924630</v>
      </c>
      <c r="G12" s="51">
        <f>G92+G95+G102+G109+G134+G144+G147+G163+G184+G189+G194+G206+G211</f>
        <v>990630</v>
      </c>
      <c r="H12" s="51">
        <f>H92+H95+H102+H109+H134+H144+H147+H163+H184+H189+H194+H199+H206+H211</f>
        <v>1829118</v>
      </c>
      <c r="I12" s="51">
        <f t="shared" ref="I12:J12" si="9">I92+I95+I102+I109+I134+I144+I147+I163+I184+I189+I194+I199+I206+I211</f>
        <v>970000</v>
      </c>
      <c r="J12" s="51">
        <f t="shared" si="9"/>
        <v>970000</v>
      </c>
      <c r="K12" s="51">
        <f>K92+K95+K102+K109+K134+K144+K147+K163+K184+K189+K194+K199+K206+K211</f>
        <v>470000</v>
      </c>
      <c r="L12" s="51">
        <f t="shared" ref="L12:M12" si="10">L92+L95+L102+L109+L134+L144+L147+L163+L184+L189+L194+L199+L206+L211</f>
        <v>0</v>
      </c>
      <c r="M12" s="51">
        <f t="shared" si="10"/>
        <v>0</v>
      </c>
    </row>
    <row r="13" spans="1:13" ht="15">
      <c r="A13" s="16" t="s">
        <v>10</v>
      </c>
      <c r="B13" s="266"/>
      <c r="C13" s="267"/>
      <c r="D13" s="267"/>
      <c r="E13" s="268"/>
      <c r="F13" s="180">
        <v>1985116</v>
      </c>
      <c r="G13" s="180">
        <v>1985116</v>
      </c>
      <c r="H13" s="205">
        <v>1985116</v>
      </c>
      <c r="I13" s="205">
        <v>1709309</v>
      </c>
      <c r="J13" s="205">
        <v>1709309</v>
      </c>
      <c r="K13" s="205">
        <v>2168849</v>
      </c>
      <c r="L13" s="205">
        <v>1835650</v>
      </c>
      <c r="M13" s="205">
        <v>1835640</v>
      </c>
    </row>
    <row r="14" spans="1:13" ht="14.25">
      <c r="A14" s="174" t="s">
        <v>217</v>
      </c>
      <c r="B14" s="142"/>
      <c r="C14" s="143"/>
      <c r="D14" s="143"/>
      <c r="E14" s="144"/>
      <c r="F14" s="181">
        <f>F9+F13</f>
        <v>3726863</v>
      </c>
      <c r="G14" s="181">
        <f>G9+G13</f>
        <v>3716339</v>
      </c>
      <c r="H14" s="181">
        <f>H9+H13</f>
        <v>3655373</v>
      </c>
      <c r="I14" s="181">
        <f t="shared" ref="I14:J14" si="11">I9+I13</f>
        <v>3292941</v>
      </c>
      <c r="J14" s="181">
        <f t="shared" si="11"/>
        <v>3292941</v>
      </c>
      <c r="K14" s="181">
        <f>K9+K13</f>
        <v>3809481</v>
      </c>
      <c r="L14" s="181">
        <f t="shared" ref="L14:M14" si="12">L9+L13</f>
        <v>3419282</v>
      </c>
      <c r="M14" s="181">
        <f t="shared" si="12"/>
        <v>3419272</v>
      </c>
    </row>
    <row r="15" spans="1:13" ht="15">
      <c r="A15" s="14" t="s">
        <v>11</v>
      </c>
      <c r="B15" s="266"/>
      <c r="C15" s="267"/>
      <c r="D15" s="267"/>
      <c r="E15" s="268"/>
      <c r="F15" s="52">
        <f t="shared" ref="F15:K15" si="13">F19+F96+F98+F108+F215</f>
        <v>6268850</v>
      </c>
      <c r="G15" s="52">
        <f t="shared" si="13"/>
        <v>7736118.1100000003</v>
      </c>
      <c r="H15" s="52">
        <f t="shared" si="13"/>
        <v>10364203</v>
      </c>
      <c r="I15" s="52">
        <f t="shared" si="13"/>
        <v>4267039</v>
      </c>
      <c r="J15" s="52">
        <f t="shared" si="13"/>
        <v>4291123</v>
      </c>
      <c r="K15" s="52">
        <f t="shared" si="13"/>
        <v>4324329</v>
      </c>
      <c r="L15" s="52">
        <f>L19+L96+L98+L108+L215+86000</f>
        <v>5468715.8499999996</v>
      </c>
      <c r="M15" s="52">
        <f>M19+M96+M98+M108+M215+171500</f>
        <v>3473369</v>
      </c>
    </row>
    <row r="16" spans="1:13" ht="14.25">
      <c r="A16" s="141" t="s">
        <v>164</v>
      </c>
      <c r="B16" s="142"/>
      <c r="C16" s="143"/>
      <c r="D16" s="143"/>
      <c r="E16" s="144"/>
      <c r="F16" s="145"/>
      <c r="G16" s="145"/>
      <c r="H16" s="145"/>
      <c r="I16" s="145"/>
      <c r="J16" s="145"/>
      <c r="K16" s="145"/>
      <c r="L16" s="233">
        <f>(L15-L10-L11-L12)*2.5%+517.95</f>
        <v>85999.999999999985</v>
      </c>
      <c r="M16" s="233">
        <f>(M15-M10-M11-M12)*5%+536.4</f>
        <v>171500</v>
      </c>
    </row>
    <row r="17" spans="1:13" ht="14.25">
      <c r="A17" s="141" t="s">
        <v>163</v>
      </c>
      <c r="B17" s="142"/>
      <c r="C17" s="143"/>
      <c r="D17" s="143"/>
      <c r="E17" s="144"/>
      <c r="F17" s="145"/>
      <c r="G17" s="145"/>
      <c r="H17" s="145"/>
      <c r="I17" s="145"/>
      <c r="J17" s="145"/>
      <c r="K17" s="145"/>
      <c r="L17" s="145">
        <f>L15-L16</f>
        <v>5382715.8499999996</v>
      </c>
      <c r="M17" s="145">
        <f>M15-M16</f>
        <v>3301869</v>
      </c>
    </row>
    <row r="18" spans="1:13" ht="15">
      <c r="A18" s="111" t="s">
        <v>75</v>
      </c>
      <c r="B18" s="112"/>
      <c r="C18" s="113"/>
      <c r="D18" s="113"/>
      <c r="E18" s="114"/>
      <c r="F18" s="115">
        <f>F19+F96+F98+F108-F92-F95-F102-F109-F134-F144-F147-F163-F181-F184-F187-F189-F192-F194-F197-F199-F203-F206-F209-F211</f>
        <v>3726863</v>
      </c>
      <c r="G18" s="115">
        <f>G19+G96+G98+G108-G92-G95-G102-G109-G134-G144-G147-G163-G181-G184-G187-G189-G192-G194-G197-G203-G206-G209-G211</f>
        <v>4950977.8</v>
      </c>
      <c r="H18" s="115">
        <f t="shared" ref="H18:M18" si="14">H19+H96+H98+H108-H92-H95-H102-H109-H134-H144-H147-H163-H181-H184-H187-H189-H192-H194-H197-H199-H203-H206-H209-H211</f>
        <v>5416534</v>
      </c>
      <c r="I18" s="115">
        <f t="shared" si="14"/>
        <v>3247605</v>
      </c>
      <c r="J18" s="115">
        <f t="shared" si="14"/>
        <v>3267026</v>
      </c>
      <c r="K18" s="115">
        <f t="shared" si="14"/>
        <v>3809481</v>
      </c>
      <c r="L18" s="115">
        <f>L19+L96+L98+L108-L92-L95-L102-L109-L144-L147-L163-L181-L184-L187-L189-L192-L194-L197-L199-L203-L206-L209-L211</f>
        <v>3333281.9999999995</v>
      </c>
      <c r="M18" s="115">
        <f t="shared" si="14"/>
        <v>3247772</v>
      </c>
    </row>
    <row r="19" spans="1:13" ht="15">
      <c r="A19" s="76" t="s">
        <v>111</v>
      </c>
      <c r="B19" s="256" t="s">
        <v>144</v>
      </c>
      <c r="C19" s="257"/>
      <c r="D19" s="257"/>
      <c r="E19" s="258"/>
      <c r="F19" s="75">
        <f t="shared" ref="F19:M19" si="15">F20+F24+F27+F65+F73+F76+F79+F82+F83+F84+F87+F92+F95</f>
        <v>2472549</v>
      </c>
      <c r="G19" s="75">
        <f t="shared" si="15"/>
        <v>2968605</v>
      </c>
      <c r="H19" s="75">
        <f t="shared" si="15"/>
        <v>3819887</v>
      </c>
      <c r="I19" s="75">
        <f t="shared" si="15"/>
        <v>2484517</v>
      </c>
      <c r="J19" s="75">
        <f t="shared" si="15"/>
        <v>2503938</v>
      </c>
      <c r="K19" s="75">
        <f t="shared" si="15"/>
        <v>2931763</v>
      </c>
      <c r="L19" s="75">
        <f t="shared" si="15"/>
        <v>2402117</v>
      </c>
      <c r="M19" s="75">
        <f t="shared" si="15"/>
        <v>2339238</v>
      </c>
    </row>
    <row r="20" spans="1:13" outlineLevel="4">
      <c r="A20" s="3" t="s">
        <v>69</v>
      </c>
      <c r="B20" s="17" t="s">
        <v>12</v>
      </c>
      <c r="C20" s="18"/>
      <c r="D20" s="17"/>
      <c r="E20" s="17"/>
      <c r="F20" s="53">
        <f t="shared" ref="F20" si="16">SUM(F21:F23)</f>
        <v>0</v>
      </c>
      <c r="G20" s="53"/>
      <c r="H20" s="53">
        <f t="shared" ref="H20:M20" si="17">SUM(H21:H23)</f>
        <v>0</v>
      </c>
      <c r="I20" s="53">
        <f t="shared" si="17"/>
        <v>0</v>
      </c>
      <c r="J20" s="53">
        <f t="shared" si="17"/>
        <v>0</v>
      </c>
      <c r="K20" s="53">
        <f t="shared" si="17"/>
        <v>0</v>
      </c>
      <c r="L20" s="53">
        <f t="shared" si="17"/>
        <v>0</v>
      </c>
      <c r="M20" s="53">
        <f t="shared" si="17"/>
        <v>0</v>
      </c>
    </row>
    <row r="21" spans="1:13" outlineLevel="7">
      <c r="A21" s="4" t="s">
        <v>14</v>
      </c>
      <c r="B21" s="19" t="s">
        <v>12</v>
      </c>
      <c r="C21" s="20" t="s">
        <v>87</v>
      </c>
      <c r="D21" s="19" t="s">
        <v>15</v>
      </c>
      <c r="E21" s="19" t="s">
        <v>52</v>
      </c>
      <c r="F21" s="54"/>
      <c r="G21" s="54"/>
      <c r="H21" s="54"/>
      <c r="I21" s="54"/>
      <c r="J21" s="54"/>
      <c r="K21" s="54"/>
      <c r="L21" s="54"/>
      <c r="M21" s="54"/>
    </row>
    <row r="22" spans="1:13" outlineLevel="7">
      <c r="A22" s="4" t="s">
        <v>88</v>
      </c>
      <c r="B22" s="19" t="s">
        <v>12</v>
      </c>
      <c r="C22" s="20" t="s">
        <v>89</v>
      </c>
      <c r="D22" s="19" t="s">
        <v>20</v>
      </c>
      <c r="E22" s="19" t="s">
        <v>52</v>
      </c>
      <c r="F22" s="54"/>
      <c r="G22" s="54"/>
      <c r="H22" s="54"/>
      <c r="I22" s="54"/>
      <c r="J22" s="54"/>
      <c r="K22" s="54"/>
      <c r="L22" s="54"/>
      <c r="M22" s="54"/>
    </row>
    <row r="23" spans="1:13" outlineLevel="7">
      <c r="A23" s="4" t="s">
        <v>16</v>
      </c>
      <c r="B23" s="19" t="s">
        <v>12</v>
      </c>
      <c r="C23" s="20" t="s">
        <v>89</v>
      </c>
      <c r="D23" s="19" t="s">
        <v>21</v>
      </c>
      <c r="E23" s="19" t="s">
        <v>52</v>
      </c>
      <c r="F23" s="54"/>
      <c r="G23" s="54"/>
      <c r="H23" s="54"/>
      <c r="I23" s="54"/>
      <c r="J23" s="54"/>
      <c r="K23" s="54"/>
      <c r="L23" s="54"/>
      <c r="M23" s="54"/>
    </row>
    <row r="24" spans="1:13" outlineLevel="4">
      <c r="A24" s="3" t="s">
        <v>91</v>
      </c>
      <c r="B24" s="17" t="s">
        <v>17</v>
      </c>
      <c r="C24" s="21" t="s">
        <v>90</v>
      </c>
      <c r="D24" s="17" t="s">
        <v>13</v>
      </c>
      <c r="E24" s="19"/>
      <c r="F24" s="53">
        <f t="shared" ref="F24:M24" si="18">SUM(F25:F26)</f>
        <v>550516</v>
      </c>
      <c r="G24" s="53">
        <f t="shared" si="18"/>
        <v>579416</v>
      </c>
      <c r="H24" s="53">
        <f t="shared" si="18"/>
        <v>603040</v>
      </c>
      <c r="I24" s="53">
        <f t="shared" si="18"/>
        <v>603040</v>
      </c>
      <c r="J24" s="53">
        <f t="shared" si="18"/>
        <v>603040</v>
      </c>
      <c r="K24" s="53">
        <f t="shared" si="18"/>
        <v>603040</v>
      </c>
      <c r="L24" s="53">
        <f t="shared" si="18"/>
        <v>603040</v>
      </c>
      <c r="M24" s="53">
        <f t="shared" si="18"/>
        <v>603040</v>
      </c>
    </row>
    <row r="25" spans="1:13" outlineLevel="7">
      <c r="A25" s="171" t="s">
        <v>238</v>
      </c>
      <c r="B25" s="155" t="s">
        <v>17</v>
      </c>
      <c r="C25" s="156" t="s">
        <v>90</v>
      </c>
      <c r="D25" s="155" t="s">
        <v>18</v>
      </c>
      <c r="E25" s="155" t="s">
        <v>52</v>
      </c>
      <c r="F25" s="54">
        <v>422823</v>
      </c>
      <c r="G25" s="54">
        <v>445020</v>
      </c>
      <c r="H25" s="54">
        <v>463164</v>
      </c>
      <c r="I25" s="54">
        <v>463164</v>
      </c>
      <c r="J25" s="54">
        <v>463164</v>
      </c>
      <c r="K25" s="54">
        <v>463164</v>
      </c>
      <c r="L25" s="54">
        <v>463164</v>
      </c>
      <c r="M25" s="54">
        <v>463164</v>
      </c>
    </row>
    <row r="26" spans="1:13" outlineLevel="7">
      <c r="A26" s="171" t="s">
        <v>73</v>
      </c>
      <c r="B26" s="155" t="s">
        <v>17</v>
      </c>
      <c r="C26" s="156" t="s">
        <v>90</v>
      </c>
      <c r="D26" s="155" t="s">
        <v>53</v>
      </c>
      <c r="E26" s="155" t="s">
        <v>52</v>
      </c>
      <c r="F26" s="56">
        <v>127693</v>
      </c>
      <c r="G26" s="56">
        <v>134396</v>
      </c>
      <c r="H26" s="56">
        <v>139876</v>
      </c>
      <c r="I26" s="56">
        <v>139876</v>
      </c>
      <c r="J26" s="56">
        <v>139876</v>
      </c>
      <c r="K26" s="56">
        <v>139876</v>
      </c>
      <c r="L26" s="56">
        <v>139876</v>
      </c>
      <c r="M26" s="56">
        <v>139876</v>
      </c>
    </row>
    <row r="27" spans="1:13" ht="25.5" outlineLevel="4">
      <c r="A27" s="3" t="s">
        <v>93</v>
      </c>
      <c r="B27" s="123" t="s">
        <v>17</v>
      </c>
      <c r="C27" s="157" t="s">
        <v>92</v>
      </c>
      <c r="D27" s="123" t="s">
        <v>13</v>
      </c>
      <c r="E27" s="123"/>
      <c r="F27" s="53">
        <f t="shared" ref="F27:M27" si="19">F28+F29+F30+F34+F41+F55+F59+F60</f>
        <v>883665</v>
      </c>
      <c r="G27" s="53">
        <f t="shared" si="19"/>
        <v>1339022</v>
      </c>
      <c r="H27" s="53">
        <f t="shared" si="19"/>
        <v>1592630</v>
      </c>
      <c r="I27" s="53">
        <f t="shared" si="19"/>
        <v>969442</v>
      </c>
      <c r="J27" s="53">
        <f t="shared" si="19"/>
        <v>969442</v>
      </c>
      <c r="K27" s="53">
        <f t="shared" si="19"/>
        <v>900196</v>
      </c>
      <c r="L27" s="53">
        <f t="shared" si="19"/>
        <v>887042</v>
      </c>
      <c r="M27" s="53">
        <f t="shared" si="19"/>
        <v>804742</v>
      </c>
    </row>
    <row r="28" spans="1:13" outlineLevel="7">
      <c r="A28" s="171" t="s">
        <v>239</v>
      </c>
      <c r="B28" s="155" t="s">
        <v>17</v>
      </c>
      <c r="C28" s="156" t="s">
        <v>92</v>
      </c>
      <c r="D28" s="155" t="s">
        <v>18</v>
      </c>
      <c r="E28" s="155" t="s">
        <v>52</v>
      </c>
      <c r="F28" s="56">
        <v>407487</v>
      </c>
      <c r="G28" s="56">
        <v>430465</v>
      </c>
      <c r="H28" s="218">
        <v>442835</v>
      </c>
      <c r="I28" s="218">
        <v>442835</v>
      </c>
      <c r="J28" s="218">
        <v>442835</v>
      </c>
      <c r="K28" s="218">
        <v>452529</v>
      </c>
      <c r="L28" s="218">
        <v>452529</v>
      </c>
      <c r="M28" s="218">
        <v>452529</v>
      </c>
    </row>
    <row r="29" spans="1:13" outlineLevel="7">
      <c r="A29" s="171" t="s">
        <v>51</v>
      </c>
      <c r="B29" s="155" t="s">
        <v>17</v>
      </c>
      <c r="C29" s="156" t="s">
        <v>92</v>
      </c>
      <c r="D29" s="155" t="s">
        <v>53</v>
      </c>
      <c r="E29" s="155" t="s">
        <v>52</v>
      </c>
      <c r="F29" s="56">
        <v>123061</v>
      </c>
      <c r="G29" s="56">
        <v>130000</v>
      </c>
      <c r="H29" s="218">
        <v>133736</v>
      </c>
      <c r="I29" s="218">
        <v>133736</v>
      </c>
      <c r="J29" s="218">
        <v>133736</v>
      </c>
      <c r="K29" s="218">
        <v>136664</v>
      </c>
      <c r="L29" s="218">
        <v>136664</v>
      </c>
      <c r="M29" s="218">
        <v>136664</v>
      </c>
    </row>
    <row r="30" spans="1:13" outlineLevel="7">
      <c r="A30" s="4"/>
      <c r="B30" s="155" t="s">
        <v>17</v>
      </c>
      <c r="C30" s="156" t="s">
        <v>92</v>
      </c>
      <c r="D30" s="155" t="s">
        <v>19</v>
      </c>
      <c r="E30" s="155" t="s">
        <v>52</v>
      </c>
      <c r="F30" s="56">
        <f t="shared" ref="F30" si="20">SUM(F31:F32)</f>
        <v>0</v>
      </c>
      <c r="G30" s="56">
        <f>SUM(G31:G33)</f>
        <v>101760</v>
      </c>
      <c r="H30" s="56">
        <f t="shared" ref="H30:M30" si="21">SUM(H31:H32)</f>
        <v>0</v>
      </c>
      <c r="I30" s="56">
        <f t="shared" si="21"/>
        <v>0</v>
      </c>
      <c r="J30" s="56">
        <f t="shared" si="21"/>
        <v>0</v>
      </c>
      <c r="K30" s="56">
        <f t="shared" si="21"/>
        <v>0</v>
      </c>
      <c r="L30" s="56">
        <f t="shared" si="21"/>
        <v>0</v>
      </c>
      <c r="M30" s="56">
        <f t="shared" si="21"/>
        <v>0</v>
      </c>
    </row>
    <row r="31" spans="1:13" ht="25.5" outlineLevel="7">
      <c r="A31" s="8" t="s">
        <v>187</v>
      </c>
      <c r="B31" s="22"/>
      <c r="C31" s="30"/>
      <c r="D31" s="22"/>
      <c r="E31" s="22"/>
      <c r="F31" s="57"/>
      <c r="G31" s="57"/>
      <c r="H31" s="57"/>
      <c r="I31" s="57"/>
      <c r="J31" s="57"/>
      <c r="K31" s="57"/>
      <c r="L31" s="57"/>
      <c r="M31" s="57"/>
    </row>
    <row r="32" spans="1:13" outlineLevel="7">
      <c r="A32" s="8" t="s">
        <v>247</v>
      </c>
      <c r="B32" s="22"/>
      <c r="C32" s="30"/>
      <c r="D32" s="22"/>
      <c r="E32" s="22"/>
      <c r="F32" s="57"/>
      <c r="G32" s="57">
        <v>50880</v>
      </c>
      <c r="H32" s="57"/>
      <c r="I32" s="57"/>
      <c r="J32" s="57"/>
      <c r="K32" s="57"/>
      <c r="L32" s="57"/>
      <c r="M32" s="57"/>
    </row>
    <row r="33" spans="1:13" outlineLevel="7">
      <c r="A33" s="8" t="s">
        <v>221</v>
      </c>
      <c r="B33" s="22"/>
      <c r="C33" s="30"/>
      <c r="D33" s="22"/>
      <c r="E33" s="22"/>
      <c r="F33" s="57"/>
      <c r="G33" s="57">
        <f>101760-SUM(G31:G32)</f>
        <v>50880</v>
      </c>
      <c r="H33" s="57"/>
      <c r="I33" s="57"/>
      <c r="J33" s="57"/>
      <c r="K33" s="57"/>
      <c r="L33" s="57"/>
      <c r="M33" s="57"/>
    </row>
    <row r="34" spans="1:13" ht="25.5" outlineLevel="5">
      <c r="A34" s="4" t="s">
        <v>68</v>
      </c>
      <c r="B34" s="19" t="s">
        <v>17</v>
      </c>
      <c r="C34" s="70" t="s">
        <v>92</v>
      </c>
      <c r="D34" s="19" t="s">
        <v>20</v>
      </c>
      <c r="E34" s="19" t="s">
        <v>52</v>
      </c>
      <c r="F34" s="56">
        <f t="shared" ref="F34:M34" si="22">SUM(F35:F40)</f>
        <v>58200</v>
      </c>
      <c r="G34" s="56">
        <f t="shared" si="22"/>
        <v>58200</v>
      </c>
      <c r="H34" s="56">
        <f t="shared" si="22"/>
        <v>91473</v>
      </c>
      <c r="I34" s="56">
        <f t="shared" si="22"/>
        <v>56473</v>
      </c>
      <c r="J34" s="56">
        <f t="shared" si="22"/>
        <v>56473</v>
      </c>
      <c r="K34" s="56">
        <f t="shared" si="22"/>
        <v>87505</v>
      </c>
      <c r="L34" s="56">
        <f t="shared" si="22"/>
        <v>56473</v>
      </c>
      <c r="M34" s="56">
        <f t="shared" si="22"/>
        <v>56473</v>
      </c>
    </row>
    <row r="35" spans="1:13" ht="25.5" outlineLevel="7">
      <c r="A35" s="9" t="s">
        <v>159</v>
      </c>
      <c r="B35" s="22"/>
      <c r="C35" s="23"/>
      <c r="D35" s="22"/>
      <c r="E35" s="22"/>
      <c r="F35" s="57">
        <v>12000</v>
      </c>
      <c r="G35" s="57">
        <v>11315.75</v>
      </c>
      <c r="H35" s="57">
        <v>16968</v>
      </c>
      <c r="I35" s="57">
        <v>16968</v>
      </c>
      <c r="J35" s="57">
        <v>16968</v>
      </c>
      <c r="K35" s="57">
        <v>13000</v>
      </c>
      <c r="L35" s="57">
        <v>16968</v>
      </c>
      <c r="M35" s="57">
        <v>16968</v>
      </c>
    </row>
    <row r="36" spans="1:13" ht="16.5" customHeight="1" outlineLevel="7">
      <c r="A36" s="9" t="s">
        <v>248</v>
      </c>
      <c r="B36" s="24"/>
      <c r="C36" s="25"/>
      <c r="D36" s="24"/>
      <c r="E36" s="24"/>
      <c r="F36" s="57">
        <v>7000</v>
      </c>
      <c r="G36" s="57">
        <f>1509</f>
        <v>1509</v>
      </c>
      <c r="H36" s="57">
        <v>7545</v>
      </c>
      <c r="I36" s="57">
        <v>7545</v>
      </c>
      <c r="J36" s="57">
        <v>7545</v>
      </c>
      <c r="K36" s="57">
        <v>7545</v>
      </c>
      <c r="L36" s="57">
        <v>7545</v>
      </c>
      <c r="M36" s="57">
        <v>7545</v>
      </c>
    </row>
    <row r="37" spans="1:13" outlineLevel="7">
      <c r="A37" s="8" t="s">
        <v>252</v>
      </c>
      <c r="B37" s="22"/>
      <c r="C37" s="23"/>
      <c r="D37" s="22"/>
      <c r="E37" s="22"/>
      <c r="F37" s="57"/>
      <c r="G37" s="57"/>
      <c r="H37" s="57">
        <v>35000</v>
      </c>
      <c r="I37" s="57"/>
      <c r="J37" s="57"/>
      <c r="K37" s="57">
        <v>35000</v>
      </c>
      <c r="L37" s="57"/>
      <c r="M37" s="57"/>
    </row>
    <row r="38" spans="1:13" ht="25.5" outlineLevel="7">
      <c r="A38" s="9" t="s">
        <v>254</v>
      </c>
      <c r="B38" s="22"/>
      <c r="C38" s="23"/>
      <c r="D38" s="22"/>
      <c r="E38" s="22"/>
      <c r="F38" s="57"/>
      <c r="G38" s="57"/>
      <c r="H38" s="57">
        <v>15460</v>
      </c>
      <c r="I38" s="57">
        <v>15460</v>
      </c>
      <c r="J38" s="57">
        <v>15460</v>
      </c>
      <c r="K38" s="57">
        <v>15460</v>
      </c>
      <c r="L38" s="57">
        <v>15460</v>
      </c>
      <c r="M38" s="57">
        <v>15460</v>
      </c>
    </row>
    <row r="39" spans="1:13" ht="25.5" outlineLevel="7">
      <c r="A39" s="9" t="s">
        <v>195</v>
      </c>
      <c r="B39" s="22"/>
      <c r="C39" s="23"/>
      <c r="D39" s="22"/>
      <c r="E39" s="22"/>
      <c r="F39" s="57">
        <v>39200</v>
      </c>
      <c r="G39" s="57">
        <f>15460</f>
        <v>15460</v>
      </c>
      <c r="H39" s="57">
        <f>16500</f>
        <v>16500</v>
      </c>
      <c r="I39" s="57">
        <f>16500</f>
        <v>16500</v>
      </c>
      <c r="J39" s="57">
        <f>16500</f>
        <v>16500</v>
      </c>
      <c r="K39" s="57">
        <f>16500</f>
        <v>16500</v>
      </c>
      <c r="L39" s="57">
        <f>16500</f>
        <v>16500</v>
      </c>
      <c r="M39" s="57">
        <f>16500</f>
        <v>16500</v>
      </c>
    </row>
    <row r="40" spans="1:13" ht="15" customHeight="1" outlineLevel="7">
      <c r="A40" s="9" t="s">
        <v>221</v>
      </c>
      <c r="B40" s="22"/>
      <c r="C40" s="23"/>
      <c r="D40" s="22"/>
      <c r="E40" s="22"/>
      <c r="F40" s="57"/>
      <c r="G40" s="57">
        <f>58200-SUM(G35:G39)</f>
        <v>29915.25</v>
      </c>
      <c r="H40" s="57"/>
      <c r="I40" s="57"/>
      <c r="J40" s="57"/>
      <c r="K40" s="57"/>
      <c r="L40" s="57"/>
      <c r="M40" s="57"/>
    </row>
    <row r="41" spans="1:13" outlineLevel="5">
      <c r="A41" s="4" t="s">
        <v>76</v>
      </c>
      <c r="B41" s="19" t="s">
        <v>17</v>
      </c>
      <c r="C41" s="70" t="s">
        <v>92</v>
      </c>
      <c r="D41" s="19" t="s">
        <v>21</v>
      </c>
      <c r="E41" s="19" t="s">
        <v>52</v>
      </c>
      <c r="F41" s="59">
        <f t="shared" ref="F41" si="23">SUM(F42:F54)</f>
        <v>234995</v>
      </c>
      <c r="G41" s="59">
        <f t="shared" ref="G41:M41" si="24">SUM(G42:G54)</f>
        <v>558675</v>
      </c>
      <c r="H41" s="59">
        <f t="shared" si="24"/>
        <v>845782</v>
      </c>
      <c r="I41" s="59">
        <f t="shared" si="24"/>
        <v>257594</v>
      </c>
      <c r="J41" s="59">
        <f t="shared" si="24"/>
        <v>257594</v>
      </c>
      <c r="K41" s="59">
        <f t="shared" si="24"/>
        <v>187694</v>
      </c>
      <c r="L41" s="59">
        <f t="shared" si="24"/>
        <v>175194</v>
      </c>
      <c r="M41" s="59">
        <f t="shared" si="24"/>
        <v>92894</v>
      </c>
    </row>
    <row r="42" spans="1:13" outlineLevel="5">
      <c r="A42" s="8" t="s">
        <v>22</v>
      </c>
      <c r="B42" s="22"/>
      <c r="C42" s="23"/>
      <c r="D42" s="22"/>
      <c r="E42" s="22"/>
      <c r="F42" s="58">
        <v>1000</v>
      </c>
      <c r="G42" s="58"/>
      <c r="H42" s="58">
        <v>3000</v>
      </c>
      <c r="I42" s="58">
        <v>3000</v>
      </c>
      <c r="J42" s="58">
        <v>3000</v>
      </c>
      <c r="K42" s="58">
        <v>0</v>
      </c>
      <c r="L42" s="58">
        <v>3000</v>
      </c>
      <c r="M42" s="58">
        <v>3000</v>
      </c>
    </row>
    <row r="43" spans="1:13" ht="25.5" outlineLevel="7">
      <c r="A43" s="8" t="s">
        <v>222</v>
      </c>
      <c r="B43" s="22"/>
      <c r="C43" s="30"/>
      <c r="D43" s="22"/>
      <c r="E43" s="22"/>
      <c r="F43" s="58">
        <f t="shared" ref="F43:M43" si="25">15000+6000</f>
        <v>21000</v>
      </c>
      <c r="G43" s="58">
        <f t="shared" si="25"/>
        <v>21000</v>
      </c>
      <c r="H43" s="58">
        <f t="shared" si="25"/>
        <v>21000</v>
      </c>
      <c r="I43" s="58">
        <f t="shared" si="25"/>
        <v>21000</v>
      </c>
      <c r="J43" s="58">
        <f t="shared" si="25"/>
        <v>21000</v>
      </c>
      <c r="K43" s="58">
        <f t="shared" si="25"/>
        <v>21000</v>
      </c>
      <c r="L43" s="58">
        <f t="shared" si="25"/>
        <v>21000</v>
      </c>
      <c r="M43" s="58">
        <f t="shared" si="25"/>
        <v>21000</v>
      </c>
    </row>
    <row r="44" spans="1:13" outlineLevel="7">
      <c r="A44" s="10" t="s">
        <v>257</v>
      </c>
      <c r="B44" s="26"/>
      <c r="C44" s="27"/>
      <c r="D44" s="26"/>
      <c r="E44" s="26"/>
      <c r="F44" s="58">
        <v>10995</v>
      </c>
      <c r="G44" s="58"/>
      <c r="H44" s="58">
        <v>10994</v>
      </c>
      <c r="I44" s="58">
        <v>10994</v>
      </c>
      <c r="J44" s="58">
        <v>10994</v>
      </c>
      <c r="K44" s="58">
        <v>10994</v>
      </c>
      <c r="L44" s="58">
        <v>10994</v>
      </c>
      <c r="M44" s="58">
        <v>10994</v>
      </c>
    </row>
    <row r="45" spans="1:13" outlineLevel="7">
      <c r="A45" s="10" t="s">
        <v>232</v>
      </c>
      <c r="B45" s="26"/>
      <c r="C45" s="27"/>
      <c r="D45" s="26"/>
      <c r="E45" s="26"/>
      <c r="F45" s="58">
        <v>6000</v>
      </c>
      <c r="G45" s="58"/>
      <c r="H45" s="58">
        <f>6900</f>
        <v>6900</v>
      </c>
      <c r="I45" s="58">
        <v>6900</v>
      </c>
      <c r="J45" s="58">
        <v>6900</v>
      </c>
      <c r="K45" s="58">
        <v>0</v>
      </c>
      <c r="L45" s="58">
        <v>6900</v>
      </c>
      <c r="M45" s="58">
        <v>6900</v>
      </c>
    </row>
    <row r="46" spans="1:13" ht="25.5" outlineLevel="7">
      <c r="A46" s="217" t="s">
        <v>253</v>
      </c>
      <c r="B46" s="26"/>
      <c r="C46" s="27"/>
      <c r="D46" s="26"/>
      <c r="E46" s="26"/>
      <c r="F46" s="58">
        <v>16000</v>
      </c>
      <c r="G46" s="58"/>
      <c r="H46" s="58">
        <v>14700</v>
      </c>
      <c r="I46" s="58">
        <v>14700</v>
      </c>
      <c r="J46" s="58">
        <v>14700</v>
      </c>
      <c r="K46" s="58">
        <v>14700</v>
      </c>
      <c r="L46" s="58">
        <v>14700</v>
      </c>
      <c r="M46" s="58">
        <v>14700</v>
      </c>
    </row>
    <row r="47" spans="1:13" outlineLevel="7">
      <c r="A47" s="11" t="s">
        <v>245</v>
      </c>
      <c r="B47" s="26"/>
      <c r="C47" s="27"/>
      <c r="D47" s="26"/>
      <c r="E47" s="26"/>
      <c r="F47" s="58"/>
      <c r="G47" s="58">
        <v>400000</v>
      </c>
      <c r="H47" s="58">
        <v>522188</v>
      </c>
      <c r="I47" s="58"/>
      <c r="J47" s="58"/>
      <c r="K47" s="58">
        <v>0</v>
      </c>
      <c r="L47" s="58"/>
      <c r="M47" s="58"/>
    </row>
    <row r="48" spans="1:13" outlineLevel="7">
      <c r="A48" s="11" t="s">
        <v>231</v>
      </c>
      <c r="B48" s="26"/>
      <c r="C48" s="27"/>
      <c r="D48" s="26"/>
      <c r="E48" s="26"/>
      <c r="F48" s="58"/>
      <c r="G48" s="58"/>
      <c r="H48" s="58">
        <v>66000</v>
      </c>
      <c r="I48" s="58"/>
      <c r="J48" s="58"/>
      <c r="K48" s="58">
        <v>0</v>
      </c>
      <c r="L48" s="58"/>
      <c r="M48" s="58"/>
    </row>
    <row r="49" spans="1:13" outlineLevel="7">
      <c r="A49" s="11" t="s">
        <v>196</v>
      </c>
      <c r="B49" s="26"/>
      <c r="C49" s="27"/>
      <c r="D49" s="26"/>
      <c r="E49" s="26"/>
      <c r="F49" s="58">
        <v>15000</v>
      </c>
      <c r="G49" s="58">
        <f>18526</f>
        <v>18526</v>
      </c>
      <c r="H49" s="58"/>
      <c r="I49" s="58"/>
      <c r="J49" s="58"/>
      <c r="K49" s="58"/>
      <c r="L49" s="58"/>
      <c r="M49" s="58"/>
    </row>
    <row r="50" spans="1:13" outlineLevel="7">
      <c r="A50" s="10" t="s">
        <v>156</v>
      </c>
      <c r="B50" s="26"/>
      <c r="C50" s="27"/>
      <c r="D50" s="26"/>
      <c r="E50" s="26"/>
      <c r="F50" s="58">
        <v>5000</v>
      </c>
      <c r="G50" s="58">
        <f>1116.35</f>
        <v>1116.3499999999999</v>
      </c>
      <c r="H50" s="58">
        <v>6000</v>
      </c>
      <c r="I50" s="58">
        <v>6000</v>
      </c>
      <c r="J50" s="58">
        <v>6000</v>
      </c>
      <c r="K50" s="58">
        <v>6000</v>
      </c>
      <c r="L50" s="58">
        <v>6000</v>
      </c>
      <c r="M50" s="58">
        <v>6000</v>
      </c>
    </row>
    <row r="51" spans="1:13" outlineLevel="7">
      <c r="A51" s="8" t="s">
        <v>23</v>
      </c>
      <c r="B51" s="22"/>
      <c r="C51" s="23"/>
      <c r="D51" s="22"/>
      <c r="E51" s="22"/>
      <c r="F51" s="58">
        <v>10000</v>
      </c>
      <c r="G51" s="58"/>
      <c r="H51" s="58">
        <v>15000</v>
      </c>
      <c r="I51" s="58">
        <v>15000</v>
      </c>
      <c r="J51" s="58">
        <v>15000</v>
      </c>
      <c r="K51" s="58">
        <v>0</v>
      </c>
      <c r="L51" s="58">
        <v>15000</v>
      </c>
      <c r="M51" s="58">
        <v>15000</v>
      </c>
    </row>
    <row r="52" spans="1:13" outlineLevel="7">
      <c r="A52" s="8" t="s">
        <v>256</v>
      </c>
      <c r="B52" s="22"/>
      <c r="C52" s="23"/>
      <c r="D52" s="22"/>
      <c r="E52" s="22"/>
      <c r="F52" s="58"/>
      <c r="G52" s="58"/>
      <c r="H52" s="58">
        <v>16000</v>
      </c>
      <c r="I52" s="58">
        <v>16000</v>
      </c>
      <c r="J52" s="58">
        <v>16000</v>
      </c>
      <c r="K52" s="58">
        <v>5000</v>
      </c>
      <c r="L52" s="58">
        <v>16000</v>
      </c>
      <c r="M52" s="58">
        <f>16000-700</f>
        <v>15300</v>
      </c>
    </row>
    <row r="53" spans="1:13" outlineLevel="7">
      <c r="A53" s="8" t="s">
        <v>255</v>
      </c>
      <c r="B53" s="22"/>
      <c r="C53" s="23"/>
      <c r="D53" s="22"/>
      <c r="E53" s="22"/>
      <c r="F53" s="58">
        <f>150000</f>
        <v>150000</v>
      </c>
      <c r="G53" s="58">
        <f>110000</f>
        <v>110000</v>
      </c>
      <c r="H53" s="58">
        <f>144000+20000</f>
        <v>164000</v>
      </c>
      <c r="I53" s="58">
        <f t="shared" ref="I53:J53" si="26">144000+20000</f>
        <v>164000</v>
      </c>
      <c r="J53" s="58">
        <f t="shared" si="26"/>
        <v>164000</v>
      </c>
      <c r="K53" s="58">
        <v>130000</v>
      </c>
      <c r="L53" s="58">
        <f>144000+20000-82400</f>
        <v>81600</v>
      </c>
      <c r="M53" s="58">
        <f>144000+20000-164000</f>
        <v>0</v>
      </c>
    </row>
    <row r="54" spans="1:13" outlineLevel="7">
      <c r="A54" s="8" t="s">
        <v>221</v>
      </c>
      <c r="B54" s="22"/>
      <c r="C54" s="184"/>
      <c r="D54" s="22"/>
      <c r="E54" s="22"/>
      <c r="F54" s="58"/>
      <c r="G54" s="58">
        <f>558675-SUM(G42:G53)</f>
        <v>8032.6500000000233</v>
      </c>
      <c r="H54" s="58"/>
      <c r="I54" s="58"/>
      <c r="J54" s="58"/>
      <c r="K54" s="58"/>
      <c r="L54" s="58"/>
      <c r="M54" s="58"/>
    </row>
    <row r="55" spans="1:13" outlineLevel="7">
      <c r="A55" s="11"/>
      <c r="B55" s="19" t="s">
        <v>17</v>
      </c>
      <c r="C55" s="70" t="s">
        <v>92</v>
      </c>
      <c r="D55" s="19" t="s">
        <v>180</v>
      </c>
      <c r="E55" s="19" t="s">
        <v>52</v>
      </c>
      <c r="F55" s="58">
        <f t="shared" ref="F55" si="27">SUM(F56:F58)</f>
        <v>46554</v>
      </c>
      <c r="G55" s="58">
        <f>SUM(G56:G58)</f>
        <v>46554</v>
      </c>
      <c r="H55" s="58">
        <f t="shared" ref="H55:M55" si="28">SUM(H56:H58)</f>
        <v>61000</v>
      </c>
      <c r="I55" s="58">
        <f t="shared" si="28"/>
        <v>61000</v>
      </c>
      <c r="J55" s="58">
        <f t="shared" si="28"/>
        <v>61000</v>
      </c>
      <c r="K55" s="58">
        <f t="shared" si="28"/>
        <v>34000</v>
      </c>
      <c r="L55" s="58">
        <f t="shared" si="28"/>
        <v>48378</v>
      </c>
      <c r="M55" s="58">
        <f t="shared" si="28"/>
        <v>48378</v>
      </c>
    </row>
    <row r="56" spans="1:13" outlineLevel="7">
      <c r="A56" s="9" t="s">
        <v>193</v>
      </c>
      <c r="B56" s="22"/>
      <c r="C56" s="23"/>
      <c r="D56" s="22"/>
      <c r="E56" s="22"/>
      <c r="F56" s="58">
        <f>20000-5000</f>
        <v>15000</v>
      </c>
      <c r="G56" s="58">
        <f>12301</f>
        <v>12301</v>
      </c>
      <c r="H56" s="58">
        <v>20000</v>
      </c>
      <c r="I56" s="58">
        <v>20000</v>
      </c>
      <c r="J56" s="58">
        <v>20000</v>
      </c>
      <c r="K56" s="58">
        <v>14000</v>
      </c>
      <c r="L56" s="58">
        <v>20000</v>
      </c>
      <c r="M56" s="58">
        <v>20000</v>
      </c>
    </row>
    <row r="57" spans="1:13" outlineLevel="7">
      <c r="A57" s="11" t="s">
        <v>194</v>
      </c>
      <c r="B57" s="28"/>
      <c r="C57" s="29"/>
      <c r="D57" s="28"/>
      <c r="E57" s="28"/>
      <c r="F57" s="58">
        <f>40000-8446</f>
        <v>31554</v>
      </c>
      <c r="G57" s="58">
        <f>17321.22</f>
        <v>17321.22</v>
      </c>
      <c r="H57" s="58">
        <v>41000</v>
      </c>
      <c r="I57" s="58">
        <v>41000</v>
      </c>
      <c r="J57" s="58">
        <v>41000</v>
      </c>
      <c r="K57" s="58">
        <v>20000</v>
      </c>
      <c r="L57" s="58">
        <f>41000-12622</f>
        <v>28378</v>
      </c>
      <c r="M57" s="58">
        <f>41000-12622</f>
        <v>28378</v>
      </c>
    </row>
    <row r="58" spans="1:13" outlineLevel="7">
      <c r="A58" s="11" t="s">
        <v>221</v>
      </c>
      <c r="B58" s="28"/>
      <c r="C58" s="185"/>
      <c r="D58" s="28"/>
      <c r="E58" s="28"/>
      <c r="F58" s="58"/>
      <c r="G58" s="58">
        <f>46554-SUM(G56:G57)</f>
        <v>16931.78</v>
      </c>
      <c r="H58" s="58"/>
      <c r="I58" s="58"/>
      <c r="J58" s="58"/>
      <c r="K58" s="58"/>
      <c r="L58" s="58"/>
      <c r="M58" s="58"/>
    </row>
    <row r="59" spans="1:13" outlineLevel="7">
      <c r="A59" s="4" t="s">
        <v>79</v>
      </c>
      <c r="B59" s="19" t="s">
        <v>17</v>
      </c>
      <c r="C59" s="70" t="s">
        <v>92</v>
      </c>
      <c r="D59" s="19" t="s">
        <v>24</v>
      </c>
      <c r="E59" s="19" t="s">
        <v>52</v>
      </c>
      <c r="F59" s="56"/>
      <c r="G59" s="56"/>
      <c r="H59" s="56"/>
      <c r="I59" s="56"/>
      <c r="J59" s="56"/>
      <c r="K59" s="56"/>
      <c r="L59" s="56"/>
      <c r="M59" s="56"/>
    </row>
    <row r="60" spans="1:13" outlineLevel="7">
      <c r="A60" s="39"/>
      <c r="B60" s="40" t="s">
        <v>17</v>
      </c>
      <c r="C60" s="70" t="s">
        <v>92</v>
      </c>
      <c r="D60" s="40" t="s">
        <v>26</v>
      </c>
      <c r="E60" s="40" t="s">
        <v>52</v>
      </c>
      <c r="F60" s="60">
        <f t="shared" ref="F60" si="29">SUM(F61:F64)</f>
        <v>13368</v>
      </c>
      <c r="G60" s="60">
        <f>SUM(G61:G64)</f>
        <v>13368</v>
      </c>
      <c r="H60" s="60">
        <f t="shared" ref="H60:M60" si="30">SUM(H61:H64)</f>
        <v>17804</v>
      </c>
      <c r="I60" s="60">
        <f t="shared" si="30"/>
        <v>17804</v>
      </c>
      <c r="J60" s="60">
        <f t="shared" si="30"/>
        <v>17804</v>
      </c>
      <c r="K60" s="60">
        <f t="shared" si="30"/>
        <v>1804</v>
      </c>
      <c r="L60" s="60">
        <f t="shared" si="30"/>
        <v>17804</v>
      </c>
      <c r="M60" s="60">
        <f t="shared" si="30"/>
        <v>17804</v>
      </c>
    </row>
    <row r="61" spans="1:13" outlineLevel="7">
      <c r="A61" s="44" t="s">
        <v>25</v>
      </c>
      <c r="B61" s="45"/>
      <c r="C61" s="30"/>
      <c r="D61" s="45"/>
      <c r="E61" s="45"/>
      <c r="F61" s="61">
        <v>1368</v>
      </c>
      <c r="G61" s="61">
        <v>1804</v>
      </c>
      <c r="H61" s="61">
        <v>1804</v>
      </c>
      <c r="I61" s="61">
        <v>1804</v>
      </c>
      <c r="J61" s="61">
        <v>1804</v>
      </c>
      <c r="K61" s="61">
        <v>1804</v>
      </c>
      <c r="L61" s="61">
        <v>1804</v>
      </c>
      <c r="M61" s="61">
        <v>1804</v>
      </c>
    </row>
    <row r="62" spans="1:13" outlineLevel="7">
      <c r="A62" s="44" t="s">
        <v>80</v>
      </c>
      <c r="B62" s="45"/>
      <c r="C62" s="30"/>
      <c r="D62" s="45"/>
      <c r="E62" s="45"/>
      <c r="F62" s="61">
        <v>1000</v>
      </c>
      <c r="G62" s="61"/>
      <c r="H62" s="61"/>
      <c r="I62" s="61"/>
      <c r="J62" s="61"/>
      <c r="K62" s="61"/>
      <c r="L62" s="61"/>
      <c r="M62" s="61"/>
    </row>
    <row r="63" spans="1:13" outlineLevel="7">
      <c r="A63" s="44" t="s">
        <v>83</v>
      </c>
      <c r="B63" s="45"/>
      <c r="C63" s="30"/>
      <c r="D63" s="45"/>
      <c r="E63" s="45"/>
      <c r="F63" s="61">
        <v>11000</v>
      </c>
      <c r="G63" s="61"/>
      <c r="H63" s="61">
        <v>16000</v>
      </c>
      <c r="I63" s="61">
        <v>16000</v>
      </c>
      <c r="J63" s="61">
        <v>16000</v>
      </c>
      <c r="K63" s="61">
        <v>0</v>
      </c>
      <c r="L63" s="61">
        <v>16000</v>
      </c>
      <c r="M63" s="61">
        <v>16000</v>
      </c>
    </row>
    <row r="64" spans="1:13" outlineLevel="7">
      <c r="A64" s="44" t="s">
        <v>221</v>
      </c>
      <c r="B64" s="45"/>
      <c r="C64" s="30"/>
      <c r="D64" s="45"/>
      <c r="E64" s="45"/>
      <c r="F64" s="61"/>
      <c r="G64" s="61">
        <f>13368-SUM(G61:G63)</f>
        <v>11564</v>
      </c>
      <c r="H64" s="61"/>
      <c r="I64" s="61"/>
      <c r="J64" s="61"/>
      <c r="K64" s="61"/>
      <c r="L64" s="61"/>
      <c r="M64" s="61"/>
    </row>
    <row r="65" spans="1:13" ht="25.5" outlineLevel="7">
      <c r="A65" s="187" t="s">
        <v>40</v>
      </c>
      <c r="B65" s="188"/>
      <c r="C65" s="189"/>
      <c r="D65" s="190"/>
      <c r="E65" s="190"/>
      <c r="F65" s="191">
        <f t="shared" ref="F65" si="31">SUM(F66:F72)</f>
        <v>908738</v>
      </c>
      <c r="G65" s="191">
        <f t="shared" ref="G65:M65" si="32">SUM(G66:G72)</f>
        <v>920537</v>
      </c>
      <c r="H65" s="191">
        <f t="shared" si="32"/>
        <v>1599217</v>
      </c>
      <c r="I65" s="191">
        <f t="shared" si="32"/>
        <v>887035</v>
      </c>
      <c r="J65" s="191">
        <f t="shared" si="32"/>
        <v>906456</v>
      </c>
      <c r="K65" s="191">
        <f t="shared" si="32"/>
        <v>1403527</v>
      </c>
      <c r="L65" s="191">
        <f t="shared" si="32"/>
        <v>887035</v>
      </c>
      <c r="M65" s="191">
        <f t="shared" si="32"/>
        <v>906456</v>
      </c>
    </row>
    <row r="66" spans="1:13" ht="38.25" outlineLevel="7">
      <c r="A66" s="8" t="s">
        <v>112</v>
      </c>
      <c r="B66" s="22" t="s">
        <v>42</v>
      </c>
      <c r="C66" s="30" t="s">
        <v>99</v>
      </c>
      <c r="D66" s="22" t="s">
        <v>41</v>
      </c>
      <c r="E66" s="22" t="s">
        <v>52</v>
      </c>
      <c r="F66" s="57">
        <v>61579</v>
      </c>
      <c r="G66" s="57">
        <v>63701</v>
      </c>
      <c r="H66" s="57">
        <v>70790</v>
      </c>
      <c r="I66" s="57">
        <v>70399</v>
      </c>
      <c r="J66" s="57">
        <v>70509</v>
      </c>
      <c r="K66" s="57">
        <v>63701</v>
      </c>
      <c r="L66" s="57">
        <v>70399</v>
      </c>
      <c r="M66" s="57">
        <v>70509</v>
      </c>
    </row>
    <row r="67" spans="1:13" ht="38.25" outlineLevel="7">
      <c r="A67" s="8" t="s">
        <v>113</v>
      </c>
      <c r="B67" s="22" t="s">
        <v>30</v>
      </c>
      <c r="C67" s="30" t="s">
        <v>99</v>
      </c>
      <c r="D67" s="22" t="s">
        <v>41</v>
      </c>
      <c r="E67" s="22" t="s">
        <v>52</v>
      </c>
      <c r="F67" s="57">
        <v>207121</v>
      </c>
      <c r="G67" s="57">
        <v>214847</v>
      </c>
      <c r="H67" s="57">
        <v>276601</v>
      </c>
      <c r="I67" s="57">
        <v>258413</v>
      </c>
      <c r="J67" s="57">
        <v>258413</v>
      </c>
      <c r="K67" s="57">
        <v>215000</v>
      </c>
      <c r="L67" s="57">
        <v>258413</v>
      </c>
      <c r="M67" s="57">
        <v>258413</v>
      </c>
    </row>
    <row r="68" spans="1:13" ht="25.5" outlineLevel="7">
      <c r="A68" s="8" t="s">
        <v>70</v>
      </c>
      <c r="B68" s="22" t="s">
        <v>30</v>
      </c>
      <c r="C68" s="30" t="s">
        <v>100</v>
      </c>
      <c r="D68" s="22" t="s">
        <v>41</v>
      </c>
      <c r="E68" s="22" t="s">
        <v>52</v>
      </c>
      <c r="F68" s="57">
        <v>31615</v>
      </c>
      <c r="G68" s="57">
        <v>32939</v>
      </c>
      <c r="H68" s="57">
        <v>32271</v>
      </c>
      <c r="I68" s="57">
        <v>32271</v>
      </c>
      <c r="J68" s="57">
        <v>32271</v>
      </c>
      <c r="K68" s="57">
        <v>32271</v>
      </c>
      <c r="L68" s="57">
        <v>32271</v>
      </c>
      <c r="M68" s="57">
        <v>32271</v>
      </c>
    </row>
    <row r="69" spans="1:13" ht="38.25" outlineLevel="7">
      <c r="A69" s="8" t="s">
        <v>114</v>
      </c>
      <c r="B69" s="22" t="s">
        <v>30</v>
      </c>
      <c r="C69" s="30" t="s">
        <v>101</v>
      </c>
      <c r="D69" s="22" t="s">
        <v>41</v>
      </c>
      <c r="E69" s="22" t="s">
        <v>52</v>
      </c>
      <c r="F69" s="57">
        <v>5648</v>
      </c>
      <c r="G69" s="57">
        <v>5813</v>
      </c>
      <c r="H69" s="57">
        <v>4600</v>
      </c>
      <c r="I69" s="57">
        <v>4600</v>
      </c>
      <c r="J69" s="57">
        <v>4600</v>
      </c>
      <c r="K69" s="57">
        <v>4600</v>
      </c>
      <c r="L69" s="57">
        <v>4600</v>
      </c>
      <c r="M69" s="57">
        <v>4600</v>
      </c>
    </row>
    <row r="70" spans="1:13" outlineLevel="7">
      <c r="A70" s="78" t="s">
        <v>78</v>
      </c>
      <c r="B70" s="22" t="s">
        <v>42</v>
      </c>
      <c r="C70" s="30" t="s">
        <v>98</v>
      </c>
      <c r="D70" s="22" t="s">
        <v>41</v>
      </c>
      <c r="E70" s="22" t="s">
        <v>52</v>
      </c>
      <c r="F70" s="57">
        <v>18442</v>
      </c>
      <c r="G70" s="77">
        <v>18904</v>
      </c>
      <c r="H70" s="57">
        <v>15111</v>
      </c>
      <c r="I70" s="57">
        <v>14716</v>
      </c>
      <c r="J70" s="57">
        <v>14716</v>
      </c>
      <c r="K70" s="57">
        <v>15111</v>
      </c>
      <c r="L70" s="57">
        <v>14716</v>
      </c>
      <c r="M70" s="57">
        <v>14716</v>
      </c>
    </row>
    <row r="71" spans="1:13" ht="25.5" outlineLevel="7">
      <c r="A71" s="8" t="s">
        <v>71</v>
      </c>
      <c r="B71" s="22" t="s">
        <v>39</v>
      </c>
      <c r="C71" s="30" t="s">
        <v>102</v>
      </c>
      <c r="D71" s="22" t="s">
        <v>41</v>
      </c>
      <c r="E71" s="22" t="s">
        <v>52</v>
      </c>
      <c r="F71" s="77">
        <v>496143</v>
      </c>
      <c r="G71" s="77">
        <v>496143</v>
      </c>
      <c r="H71" s="77">
        <v>1111644</v>
      </c>
      <c r="I71" s="77">
        <v>418436</v>
      </c>
      <c r="J71" s="77">
        <v>437747</v>
      </c>
      <c r="K71" s="77">
        <f>1111644-97000</f>
        <v>1014644</v>
      </c>
      <c r="L71" s="77">
        <v>418436</v>
      </c>
      <c r="M71" s="77">
        <v>437747</v>
      </c>
    </row>
    <row r="72" spans="1:13" ht="38.25" outlineLevel="7">
      <c r="A72" s="79" t="s">
        <v>72</v>
      </c>
      <c r="B72" s="80" t="s">
        <v>43</v>
      </c>
      <c r="C72" s="81" t="s">
        <v>103</v>
      </c>
      <c r="D72" s="80" t="s">
        <v>41</v>
      </c>
      <c r="E72" s="80" t="s">
        <v>52</v>
      </c>
      <c r="F72" s="77">
        <v>88190</v>
      </c>
      <c r="G72" s="77">
        <v>88190</v>
      </c>
      <c r="H72" s="77">
        <v>88200</v>
      </c>
      <c r="I72" s="77">
        <v>88200</v>
      </c>
      <c r="J72" s="77">
        <v>88200</v>
      </c>
      <c r="K72" s="77">
        <f>88200-30000</f>
        <v>58200</v>
      </c>
      <c r="L72" s="77">
        <v>88200</v>
      </c>
      <c r="M72" s="77">
        <v>88200</v>
      </c>
    </row>
    <row r="73" spans="1:13" outlineLevel="4">
      <c r="A73" s="131" t="s">
        <v>152</v>
      </c>
      <c r="B73" s="17" t="s">
        <v>28</v>
      </c>
      <c r="C73" s="133" t="s">
        <v>97</v>
      </c>
      <c r="D73" s="17" t="s">
        <v>29</v>
      </c>
      <c r="E73" s="17" t="s">
        <v>52</v>
      </c>
      <c r="F73" s="132">
        <f t="shared" ref="F73" si="33">SUM(F74:F75)</f>
        <v>5000</v>
      </c>
      <c r="G73" s="132">
        <f t="shared" ref="G73:M73" si="34">SUM(G74:G75)</f>
        <v>5000</v>
      </c>
      <c r="H73" s="132">
        <f t="shared" si="34"/>
        <v>5000</v>
      </c>
      <c r="I73" s="132">
        <f t="shared" si="34"/>
        <v>5000</v>
      </c>
      <c r="J73" s="132">
        <f t="shared" si="34"/>
        <v>5000</v>
      </c>
      <c r="K73" s="132">
        <f t="shared" si="34"/>
        <v>5000</v>
      </c>
      <c r="L73" s="132">
        <f t="shared" si="34"/>
        <v>5000</v>
      </c>
      <c r="M73" s="132">
        <f t="shared" si="34"/>
        <v>5000</v>
      </c>
    </row>
    <row r="74" spans="1:13" ht="38.25" outlineLevel="4">
      <c r="A74" s="44" t="s">
        <v>158</v>
      </c>
      <c r="B74" s="96"/>
      <c r="C74" s="100"/>
      <c r="D74" s="98"/>
      <c r="E74" s="17"/>
      <c r="F74" s="57">
        <v>5000</v>
      </c>
      <c r="G74" s="57">
        <v>5000</v>
      </c>
      <c r="H74" s="57">
        <v>5000</v>
      </c>
      <c r="I74" s="57">
        <v>5000</v>
      </c>
      <c r="J74" s="57">
        <v>5000</v>
      </c>
      <c r="K74" s="57">
        <v>5000</v>
      </c>
      <c r="L74" s="57">
        <v>5000</v>
      </c>
      <c r="M74" s="57">
        <v>5000</v>
      </c>
    </row>
    <row r="75" spans="1:13" outlineLevel="4">
      <c r="A75" s="44" t="s">
        <v>153</v>
      </c>
      <c r="B75" s="96"/>
      <c r="C75" s="100"/>
      <c r="D75" s="98"/>
      <c r="E75" s="17"/>
      <c r="F75" s="58"/>
      <c r="G75" s="58"/>
      <c r="H75" s="58"/>
      <c r="I75" s="58"/>
      <c r="J75" s="58"/>
      <c r="K75" s="58"/>
      <c r="L75" s="58"/>
      <c r="M75" s="58"/>
    </row>
    <row r="76" spans="1:13" ht="25.5" outlineLevel="4">
      <c r="A76" s="7" t="s">
        <v>64</v>
      </c>
      <c r="B76" s="17"/>
      <c r="C76" s="21" t="s">
        <v>96</v>
      </c>
      <c r="D76" s="17" t="s">
        <v>21</v>
      </c>
      <c r="E76" s="17" t="s">
        <v>52</v>
      </c>
      <c r="F76" s="62">
        <f>SUM(F77:F78)</f>
        <v>0</v>
      </c>
      <c r="G76" s="62"/>
      <c r="H76" s="62">
        <f t="shared" ref="H76:M76" si="35">SUM(H77:H78)</f>
        <v>0</v>
      </c>
      <c r="I76" s="62">
        <f t="shared" si="35"/>
        <v>0</v>
      </c>
      <c r="J76" s="62">
        <f t="shared" si="35"/>
        <v>0</v>
      </c>
      <c r="K76" s="62">
        <f t="shared" si="35"/>
        <v>0</v>
      </c>
      <c r="L76" s="62">
        <f t="shared" si="35"/>
        <v>0</v>
      </c>
      <c r="M76" s="62">
        <f t="shared" si="35"/>
        <v>0</v>
      </c>
    </row>
    <row r="77" spans="1:13" ht="38.25" outlineLevel="4">
      <c r="A77" s="8" t="s">
        <v>216</v>
      </c>
      <c r="B77" s="22" t="s">
        <v>32</v>
      </c>
      <c r="C77" s="30" t="s">
        <v>96</v>
      </c>
      <c r="D77" s="22" t="s">
        <v>21</v>
      </c>
      <c r="E77" s="22" t="s">
        <v>52</v>
      </c>
      <c r="F77" s="58"/>
      <c r="G77" s="58"/>
      <c r="H77" s="58"/>
      <c r="I77" s="58"/>
      <c r="J77" s="58"/>
      <c r="K77" s="58"/>
      <c r="L77" s="58"/>
      <c r="M77" s="58"/>
    </row>
    <row r="78" spans="1:13" outlineLevel="4">
      <c r="A78" s="8"/>
      <c r="B78" s="22" t="s">
        <v>30</v>
      </c>
      <c r="C78" s="30" t="s">
        <v>96</v>
      </c>
      <c r="D78" s="22" t="s">
        <v>21</v>
      </c>
      <c r="E78" s="22" t="s">
        <v>52</v>
      </c>
      <c r="F78" s="58"/>
      <c r="G78" s="58"/>
      <c r="H78" s="58"/>
      <c r="I78" s="58"/>
      <c r="J78" s="58"/>
      <c r="K78" s="58"/>
      <c r="L78" s="58"/>
      <c r="M78" s="58"/>
    </row>
    <row r="79" spans="1:13" outlineLevel="4">
      <c r="A79" s="7" t="s">
        <v>67</v>
      </c>
      <c r="B79" s="17" t="s">
        <v>30</v>
      </c>
      <c r="C79" s="21" t="s">
        <v>104</v>
      </c>
      <c r="D79" s="17" t="s">
        <v>21</v>
      </c>
      <c r="E79" s="17" t="s">
        <v>52</v>
      </c>
      <c r="F79" s="53">
        <f t="shared" ref="F79" si="36">SUM(F80:F81)</f>
        <v>0</v>
      </c>
      <c r="G79" s="53"/>
      <c r="H79" s="53">
        <f t="shared" ref="H79:M79" si="37">SUM(H80:H81)</f>
        <v>0</v>
      </c>
      <c r="I79" s="53">
        <f t="shared" si="37"/>
        <v>0</v>
      </c>
      <c r="J79" s="53">
        <f t="shared" si="37"/>
        <v>0</v>
      </c>
      <c r="K79" s="53">
        <f t="shared" si="37"/>
        <v>0</v>
      </c>
      <c r="L79" s="53">
        <f t="shared" si="37"/>
        <v>0</v>
      </c>
      <c r="M79" s="53">
        <f t="shared" si="37"/>
        <v>0</v>
      </c>
    </row>
    <row r="80" spans="1:13" ht="25.5" outlineLevel="4">
      <c r="A80" s="9" t="s">
        <v>154</v>
      </c>
      <c r="B80" s="22"/>
      <c r="C80" s="30"/>
      <c r="D80" s="22"/>
      <c r="E80" s="22"/>
      <c r="F80" s="57"/>
      <c r="G80" s="57"/>
      <c r="H80" s="57"/>
      <c r="I80" s="57"/>
      <c r="J80" s="57"/>
      <c r="K80" s="57"/>
      <c r="L80" s="57"/>
      <c r="M80" s="57"/>
    </row>
    <row r="81" spans="1:13" outlineLevel="4">
      <c r="A81" s="8"/>
      <c r="B81" s="22"/>
      <c r="C81" s="30"/>
      <c r="D81" s="22"/>
      <c r="E81" s="22"/>
      <c r="F81" s="57"/>
      <c r="G81" s="57"/>
      <c r="H81" s="57"/>
      <c r="I81" s="57"/>
      <c r="J81" s="57"/>
      <c r="K81" s="57"/>
      <c r="L81" s="57"/>
      <c r="M81" s="57"/>
    </row>
    <row r="82" spans="1:13" outlineLevel="4">
      <c r="A82" s="7" t="s">
        <v>65</v>
      </c>
      <c r="B82" s="17" t="s">
        <v>30</v>
      </c>
      <c r="C82" s="21" t="s">
        <v>105</v>
      </c>
      <c r="D82" s="17" t="s">
        <v>21</v>
      </c>
      <c r="E82" s="17" t="s">
        <v>52</v>
      </c>
      <c r="F82" s="53">
        <v>20000</v>
      </c>
      <c r="G82" s="53">
        <v>20000</v>
      </c>
      <c r="H82" s="53">
        <v>20000</v>
      </c>
      <c r="I82" s="53">
        <v>20000</v>
      </c>
      <c r="J82" s="53">
        <v>20000</v>
      </c>
      <c r="K82" s="53">
        <v>20000</v>
      </c>
      <c r="L82" s="53">
        <v>20000</v>
      </c>
      <c r="M82" s="53">
        <v>20000</v>
      </c>
    </row>
    <row r="83" spans="1:13" outlineLevel="4">
      <c r="A83" s="41" t="s">
        <v>95</v>
      </c>
      <c r="B83" s="42" t="s">
        <v>27</v>
      </c>
      <c r="C83" s="43" t="s">
        <v>94</v>
      </c>
      <c r="D83" s="42" t="s">
        <v>179</v>
      </c>
      <c r="E83" s="42" t="s">
        <v>52</v>
      </c>
      <c r="F83" s="53"/>
      <c r="G83" s="53"/>
      <c r="H83" s="53"/>
      <c r="I83" s="53"/>
      <c r="J83" s="53"/>
      <c r="K83" s="53"/>
      <c r="L83" s="53"/>
      <c r="M83" s="53"/>
    </row>
    <row r="84" spans="1:13" outlineLevel="4">
      <c r="A84" s="131" t="s">
        <v>160</v>
      </c>
      <c r="B84" s="103" t="s">
        <v>30</v>
      </c>
      <c r="C84" s="46" t="s">
        <v>107</v>
      </c>
      <c r="D84" s="103" t="s">
        <v>29</v>
      </c>
      <c r="E84" s="103" t="s">
        <v>52</v>
      </c>
      <c r="F84" s="53">
        <f>SUM(F85:F86)</f>
        <v>0</v>
      </c>
      <c r="G84" s="53"/>
      <c r="H84" s="53">
        <f t="shared" ref="H84:M84" si="38">SUM(H85:H86)</f>
        <v>0</v>
      </c>
      <c r="I84" s="53">
        <f t="shared" si="38"/>
        <v>0</v>
      </c>
      <c r="J84" s="53">
        <f t="shared" si="38"/>
        <v>0</v>
      </c>
      <c r="K84" s="53">
        <f t="shared" si="38"/>
        <v>0</v>
      </c>
      <c r="L84" s="53">
        <f t="shared" si="38"/>
        <v>0</v>
      </c>
      <c r="M84" s="53">
        <f t="shared" si="38"/>
        <v>0</v>
      </c>
    </row>
    <row r="85" spans="1:13" outlineLevel="4">
      <c r="A85" s="44"/>
      <c r="B85" s="82"/>
      <c r="C85" s="30"/>
      <c r="D85" s="82"/>
      <c r="E85" s="82"/>
      <c r="F85" s="57"/>
      <c r="G85" s="137"/>
      <c r="H85" s="57"/>
      <c r="I85" s="57"/>
      <c r="J85" s="57"/>
      <c r="K85" s="57"/>
      <c r="L85" s="57"/>
      <c r="M85" s="57"/>
    </row>
    <row r="86" spans="1:13" outlineLevel="4">
      <c r="A86" s="44"/>
      <c r="B86" s="82"/>
      <c r="C86" s="30"/>
      <c r="D86" s="82"/>
      <c r="E86" s="82"/>
      <c r="F86" s="137"/>
      <c r="G86" s="137"/>
      <c r="H86" s="137"/>
      <c r="I86" s="137"/>
      <c r="J86" s="137"/>
      <c r="K86" s="137"/>
      <c r="L86" s="137"/>
      <c r="M86" s="137"/>
    </row>
    <row r="87" spans="1:13" outlineLevel="4">
      <c r="A87" s="134" t="s">
        <v>146</v>
      </c>
      <c r="B87" s="135"/>
      <c r="C87" s="136" t="s">
        <v>147</v>
      </c>
      <c r="D87" s="135" t="s">
        <v>21</v>
      </c>
      <c r="E87" s="135" t="s">
        <v>52</v>
      </c>
      <c r="F87" s="138">
        <f t="shared" ref="F87" si="39">SUM(F88:F91)</f>
        <v>20000</v>
      </c>
      <c r="G87" s="138">
        <f>SUM(G88:G91)</f>
        <v>20000</v>
      </c>
      <c r="H87" s="138">
        <f t="shared" ref="H87:M87" si="40">SUM(H88:H91)</f>
        <v>0</v>
      </c>
      <c r="I87" s="138">
        <f t="shared" si="40"/>
        <v>0</v>
      </c>
      <c r="J87" s="138">
        <f t="shared" si="40"/>
        <v>0</v>
      </c>
      <c r="K87" s="138">
        <f t="shared" si="40"/>
        <v>0</v>
      </c>
      <c r="L87" s="138">
        <f t="shared" si="40"/>
        <v>0</v>
      </c>
      <c r="M87" s="138">
        <f t="shared" si="40"/>
        <v>0</v>
      </c>
    </row>
    <row r="88" spans="1:13" outlineLevel="4">
      <c r="A88" s="44" t="s">
        <v>157</v>
      </c>
      <c r="B88" s="82" t="s">
        <v>30</v>
      </c>
      <c r="C88" s="30" t="s">
        <v>147</v>
      </c>
      <c r="D88" s="82" t="s">
        <v>21</v>
      </c>
      <c r="E88" s="82" t="s">
        <v>52</v>
      </c>
      <c r="F88" s="61">
        <v>20000</v>
      </c>
      <c r="G88" s="61">
        <v>20000</v>
      </c>
      <c r="H88" s="61"/>
      <c r="I88" s="61"/>
      <c r="J88" s="61"/>
      <c r="K88" s="61"/>
      <c r="L88" s="61"/>
      <c r="M88" s="61"/>
    </row>
    <row r="89" spans="1:13" outlineLevel="4">
      <c r="A89" s="139" t="s">
        <v>188</v>
      </c>
      <c r="B89" s="82" t="s">
        <v>189</v>
      </c>
      <c r="C89" s="30" t="s">
        <v>147</v>
      </c>
      <c r="D89" s="82" t="s">
        <v>190</v>
      </c>
      <c r="E89" s="82" t="s">
        <v>52</v>
      </c>
      <c r="F89" s="61"/>
      <c r="G89" s="61"/>
      <c r="H89" s="61"/>
      <c r="I89" s="61"/>
      <c r="J89" s="61"/>
      <c r="K89" s="61"/>
      <c r="L89" s="61"/>
      <c r="M89" s="61"/>
    </row>
    <row r="90" spans="1:13" outlineLevel="4">
      <c r="A90" s="44"/>
      <c r="B90" s="82" t="s">
        <v>30</v>
      </c>
      <c r="C90" s="30" t="s">
        <v>147</v>
      </c>
      <c r="D90" s="82" t="s">
        <v>21</v>
      </c>
      <c r="E90" s="82" t="s">
        <v>52</v>
      </c>
      <c r="F90" s="61"/>
      <c r="G90" s="61"/>
      <c r="H90" s="61"/>
      <c r="I90" s="61"/>
      <c r="J90" s="61"/>
      <c r="K90" s="61"/>
      <c r="L90" s="61"/>
      <c r="M90" s="61"/>
    </row>
    <row r="91" spans="1:13" outlineLevel="4">
      <c r="A91" s="44" t="s">
        <v>221</v>
      </c>
      <c r="B91" s="82"/>
      <c r="C91" s="81"/>
      <c r="D91" s="82"/>
      <c r="E91" s="82"/>
      <c r="F91" s="61"/>
      <c r="G91" s="61"/>
      <c r="H91" s="61"/>
      <c r="I91" s="61"/>
      <c r="J91" s="61"/>
      <c r="K91" s="61"/>
      <c r="L91" s="61"/>
      <c r="M91" s="61"/>
    </row>
    <row r="92" spans="1:13" outlineLevel="4">
      <c r="A92" s="152" t="s">
        <v>176</v>
      </c>
      <c r="B92" s="153" t="s">
        <v>30</v>
      </c>
      <c r="C92" s="104" t="s">
        <v>177</v>
      </c>
      <c r="D92" s="153"/>
      <c r="E92" s="153"/>
      <c r="F92" s="154">
        <f t="shared" ref="F92:M92" si="41">F93+F94</f>
        <v>84630</v>
      </c>
      <c r="G92" s="154">
        <f t="shared" si="41"/>
        <v>84630</v>
      </c>
      <c r="H92" s="154">
        <f t="shared" si="41"/>
        <v>0</v>
      </c>
      <c r="I92" s="154">
        <f t="shared" si="41"/>
        <v>0</v>
      </c>
      <c r="J92" s="154">
        <f t="shared" si="41"/>
        <v>0</v>
      </c>
      <c r="K92" s="154">
        <f t="shared" si="41"/>
        <v>0</v>
      </c>
      <c r="L92" s="154">
        <f t="shared" si="41"/>
        <v>0</v>
      </c>
      <c r="M92" s="154">
        <f t="shared" si="41"/>
        <v>0</v>
      </c>
    </row>
    <row r="93" spans="1:13" outlineLevel="4">
      <c r="A93" s="44"/>
      <c r="B93" s="82" t="s">
        <v>30</v>
      </c>
      <c r="C93" s="81" t="s">
        <v>177</v>
      </c>
      <c r="D93" s="82" t="s">
        <v>18</v>
      </c>
      <c r="E93" s="82" t="s">
        <v>45</v>
      </c>
      <c r="F93" s="61">
        <v>65000</v>
      </c>
      <c r="G93" s="61">
        <v>65000</v>
      </c>
      <c r="H93" s="61"/>
      <c r="I93" s="61"/>
      <c r="J93" s="61"/>
      <c r="K93" s="61"/>
      <c r="L93" s="61"/>
      <c r="M93" s="61"/>
    </row>
    <row r="94" spans="1:13" outlineLevel="4">
      <c r="A94" s="44"/>
      <c r="B94" s="82" t="s">
        <v>30</v>
      </c>
      <c r="C94" s="81" t="s">
        <v>177</v>
      </c>
      <c r="D94" s="82" t="s">
        <v>53</v>
      </c>
      <c r="E94" s="82" t="s">
        <v>45</v>
      </c>
      <c r="F94" s="61">
        <v>19630</v>
      </c>
      <c r="G94" s="61">
        <v>19630</v>
      </c>
      <c r="H94" s="61"/>
      <c r="I94" s="61"/>
      <c r="J94" s="61"/>
      <c r="K94" s="61"/>
      <c r="L94" s="61"/>
      <c r="M94" s="61"/>
    </row>
    <row r="95" spans="1:13" ht="51" outlineLevel="4">
      <c r="A95" s="152" t="s">
        <v>197</v>
      </c>
      <c r="B95" s="153" t="s">
        <v>30</v>
      </c>
      <c r="C95" s="21" t="s">
        <v>198</v>
      </c>
      <c r="D95" s="153" t="s">
        <v>199</v>
      </c>
      <c r="E95" s="153" t="s">
        <v>45</v>
      </c>
      <c r="F95" s="154"/>
      <c r="G95" s="154"/>
      <c r="H95" s="154"/>
      <c r="I95" s="154"/>
      <c r="J95" s="154"/>
      <c r="K95" s="154"/>
      <c r="L95" s="154"/>
      <c r="M95" s="154"/>
    </row>
    <row r="96" spans="1:13" ht="15" outlineLevel="4">
      <c r="A96" s="119" t="s">
        <v>141</v>
      </c>
      <c r="B96" s="259" t="s">
        <v>142</v>
      </c>
      <c r="C96" s="260"/>
      <c r="D96" s="260"/>
      <c r="E96" s="261"/>
      <c r="F96" s="120">
        <f t="shared" ref="F96:M96" si="42">F97</f>
        <v>1000</v>
      </c>
      <c r="G96" s="120">
        <f t="shared" si="42"/>
        <v>1000</v>
      </c>
      <c r="H96" s="120">
        <f t="shared" si="42"/>
        <v>1000</v>
      </c>
      <c r="I96" s="120">
        <f t="shared" si="42"/>
        <v>1000</v>
      </c>
      <c r="J96" s="120">
        <f t="shared" si="42"/>
        <v>1000</v>
      </c>
      <c r="K96" s="120">
        <f t="shared" si="42"/>
        <v>1000</v>
      </c>
      <c r="L96" s="120">
        <f t="shared" si="42"/>
        <v>1000</v>
      </c>
      <c r="M96" s="120">
        <f t="shared" si="42"/>
        <v>1000</v>
      </c>
    </row>
    <row r="97" spans="1:13" outlineLevel="7">
      <c r="A97" s="7" t="s">
        <v>66</v>
      </c>
      <c r="B97" s="103" t="s">
        <v>30</v>
      </c>
      <c r="C97" s="104" t="s">
        <v>106</v>
      </c>
      <c r="D97" s="103" t="s">
        <v>21</v>
      </c>
      <c r="E97" s="103" t="s">
        <v>52</v>
      </c>
      <c r="F97" s="53">
        <v>1000</v>
      </c>
      <c r="G97" s="53">
        <v>1000</v>
      </c>
      <c r="H97" s="53">
        <v>1000</v>
      </c>
      <c r="I97" s="53">
        <v>1000</v>
      </c>
      <c r="J97" s="53">
        <v>1000</v>
      </c>
      <c r="K97" s="53">
        <v>1000</v>
      </c>
      <c r="L97" s="53">
        <v>1000</v>
      </c>
      <c r="M97" s="53">
        <v>1000</v>
      </c>
    </row>
    <row r="98" spans="1:13" ht="15" outlineLevel="7">
      <c r="A98" s="121" t="s">
        <v>117</v>
      </c>
      <c r="B98" s="262" t="s">
        <v>143</v>
      </c>
      <c r="C98" s="262"/>
      <c r="D98" s="262"/>
      <c r="E98" s="262"/>
      <c r="F98" s="89">
        <f>F99+F102+F186</f>
        <v>800000</v>
      </c>
      <c r="G98" s="89">
        <f t="shared" ref="G98:M98" si="43">G99+G102+G186</f>
        <v>800000</v>
      </c>
      <c r="H98" s="89">
        <f t="shared" si="43"/>
        <v>3812446</v>
      </c>
      <c r="I98" s="89">
        <f t="shared" si="43"/>
        <v>800000</v>
      </c>
      <c r="J98" s="89">
        <f t="shared" si="43"/>
        <v>800000</v>
      </c>
      <c r="K98" s="89">
        <f t="shared" si="43"/>
        <v>450000</v>
      </c>
      <c r="L98" s="89">
        <f t="shared" si="43"/>
        <v>0</v>
      </c>
      <c r="M98" s="89">
        <f t="shared" si="43"/>
        <v>0</v>
      </c>
    </row>
    <row r="99" spans="1:13" outlineLevel="7">
      <c r="A99" s="86" t="s">
        <v>77</v>
      </c>
      <c r="B99" s="107" t="s">
        <v>31</v>
      </c>
      <c r="C99" s="30"/>
      <c r="D99" s="107"/>
      <c r="E99" s="87" t="s">
        <v>52</v>
      </c>
      <c r="F99" s="88">
        <f t="shared" ref="F99:M99" si="44">F100+F101</f>
        <v>0</v>
      </c>
      <c r="G99" s="88">
        <f t="shared" si="44"/>
        <v>0</v>
      </c>
      <c r="H99" s="88">
        <f t="shared" si="44"/>
        <v>0</v>
      </c>
      <c r="I99" s="88">
        <f t="shared" si="44"/>
        <v>0</v>
      </c>
      <c r="J99" s="88">
        <f t="shared" si="44"/>
        <v>0</v>
      </c>
      <c r="K99" s="88">
        <f t="shared" si="44"/>
        <v>0</v>
      </c>
      <c r="L99" s="88">
        <f t="shared" si="44"/>
        <v>0</v>
      </c>
      <c r="M99" s="88">
        <f t="shared" si="44"/>
        <v>0</v>
      </c>
    </row>
    <row r="100" spans="1:13" outlineLevel="7">
      <c r="A100" s="86" t="s">
        <v>124</v>
      </c>
      <c r="B100" s="107" t="s">
        <v>31</v>
      </c>
      <c r="C100" s="30" t="s">
        <v>162</v>
      </c>
      <c r="D100" s="107" t="s">
        <v>21</v>
      </c>
      <c r="E100" s="87" t="s">
        <v>52</v>
      </c>
      <c r="F100" s="63"/>
      <c r="G100" s="63"/>
      <c r="H100" s="63"/>
      <c r="I100" s="63"/>
      <c r="J100" s="63"/>
      <c r="K100" s="63"/>
      <c r="L100" s="63"/>
      <c r="M100" s="63"/>
    </row>
    <row r="101" spans="1:13" outlineLevel="7">
      <c r="A101" s="86" t="s">
        <v>125</v>
      </c>
      <c r="B101" s="107" t="s">
        <v>31</v>
      </c>
      <c r="C101" s="30" t="s">
        <v>200</v>
      </c>
      <c r="D101" s="107" t="s">
        <v>21</v>
      </c>
      <c r="E101" s="87" t="s">
        <v>52</v>
      </c>
      <c r="F101" s="63"/>
      <c r="G101" s="63"/>
      <c r="H101" s="63"/>
      <c r="I101" s="63"/>
      <c r="J101" s="63"/>
      <c r="K101" s="63"/>
      <c r="L101" s="63"/>
      <c r="M101" s="63"/>
    </row>
    <row r="102" spans="1:13" ht="25.5" outlineLevel="7">
      <c r="A102" s="108" t="s">
        <v>44</v>
      </c>
      <c r="B102" s="109"/>
      <c r="C102" s="110"/>
      <c r="D102" s="109"/>
      <c r="E102" s="109"/>
      <c r="F102" s="53">
        <f t="shared" ref="F102" si="45">SUM(F103:F107)</f>
        <v>800000</v>
      </c>
      <c r="G102" s="53">
        <f t="shared" ref="G102:M102" si="46">SUM(G103:G107)</f>
        <v>800000</v>
      </c>
      <c r="H102" s="53">
        <f t="shared" si="46"/>
        <v>800000</v>
      </c>
      <c r="I102" s="53">
        <f t="shared" si="46"/>
        <v>800000</v>
      </c>
      <c r="J102" s="53">
        <f t="shared" si="46"/>
        <v>800000</v>
      </c>
      <c r="K102" s="53">
        <f t="shared" si="46"/>
        <v>450000</v>
      </c>
      <c r="L102" s="53">
        <f t="shared" si="46"/>
        <v>0</v>
      </c>
      <c r="M102" s="53">
        <f t="shared" si="46"/>
        <v>0</v>
      </c>
    </row>
    <row r="103" spans="1:13" ht="51" outlineLevel="7">
      <c r="A103" s="106" t="s">
        <v>118</v>
      </c>
      <c r="B103" s="107" t="s">
        <v>31</v>
      </c>
      <c r="C103" s="30" t="s">
        <v>54</v>
      </c>
      <c r="D103" s="107" t="s">
        <v>21</v>
      </c>
      <c r="E103" s="107" t="s">
        <v>45</v>
      </c>
      <c r="F103" s="57"/>
      <c r="G103" s="57"/>
      <c r="H103" s="57"/>
      <c r="I103" s="57"/>
      <c r="J103" s="57"/>
      <c r="K103" s="57"/>
      <c r="L103" s="57"/>
      <c r="M103" s="57"/>
    </row>
    <row r="104" spans="1:13" ht="51" outlineLevel="7">
      <c r="A104" s="106" t="s">
        <v>119</v>
      </c>
      <c r="B104" s="107" t="s">
        <v>31</v>
      </c>
      <c r="C104" s="30" t="s">
        <v>55</v>
      </c>
      <c r="D104" s="107" t="s">
        <v>21</v>
      </c>
      <c r="E104" s="107" t="s">
        <v>45</v>
      </c>
      <c r="F104" s="57"/>
      <c r="G104" s="57"/>
      <c r="H104" s="57"/>
      <c r="I104" s="57"/>
      <c r="J104" s="57"/>
      <c r="K104" s="57"/>
      <c r="L104" s="57"/>
      <c r="M104" s="57"/>
    </row>
    <row r="105" spans="1:13" ht="51" outlineLevel="7">
      <c r="A105" s="106" t="s">
        <v>120</v>
      </c>
      <c r="B105" s="107" t="s">
        <v>31</v>
      </c>
      <c r="C105" s="30" t="s">
        <v>56</v>
      </c>
      <c r="D105" s="107" t="s">
        <v>21</v>
      </c>
      <c r="E105" s="107" t="s">
        <v>45</v>
      </c>
      <c r="F105" s="57">
        <v>500000</v>
      </c>
      <c r="G105" s="57">
        <v>500000</v>
      </c>
      <c r="H105" s="57">
        <v>500000</v>
      </c>
      <c r="I105" s="57">
        <v>500000</v>
      </c>
      <c r="J105" s="57">
        <v>500000</v>
      </c>
      <c r="K105" s="57">
        <v>300000</v>
      </c>
      <c r="L105" s="57"/>
      <c r="M105" s="57"/>
    </row>
    <row r="106" spans="1:13" ht="51" outlineLevel="7">
      <c r="A106" s="106" t="s">
        <v>121</v>
      </c>
      <c r="B106" s="107" t="s">
        <v>31</v>
      </c>
      <c r="C106" s="30" t="s">
        <v>57</v>
      </c>
      <c r="D106" s="107" t="s">
        <v>21</v>
      </c>
      <c r="E106" s="107" t="s">
        <v>45</v>
      </c>
      <c r="F106" s="57">
        <v>300000</v>
      </c>
      <c r="G106" s="57">
        <v>300000</v>
      </c>
      <c r="H106" s="57">
        <v>300000</v>
      </c>
      <c r="I106" s="57">
        <v>300000</v>
      </c>
      <c r="J106" s="57">
        <v>300000</v>
      </c>
      <c r="K106" s="57">
        <v>150000</v>
      </c>
      <c r="L106" s="57"/>
      <c r="M106" s="57"/>
    </row>
    <row r="107" spans="1:13" ht="51" outlineLevel="7">
      <c r="A107" s="106" t="s">
        <v>122</v>
      </c>
      <c r="B107" s="107" t="s">
        <v>31</v>
      </c>
      <c r="C107" s="30" t="s">
        <v>58</v>
      </c>
      <c r="D107" s="107" t="s">
        <v>21</v>
      </c>
      <c r="E107" s="107" t="s">
        <v>45</v>
      </c>
      <c r="F107" s="57"/>
      <c r="G107" s="57"/>
      <c r="H107" s="57"/>
      <c r="I107" s="57"/>
      <c r="J107" s="57"/>
      <c r="K107" s="57"/>
      <c r="L107" s="57"/>
      <c r="M107" s="57"/>
    </row>
    <row r="108" spans="1:13" ht="15" outlineLevel="7">
      <c r="A108" s="122" t="s">
        <v>126</v>
      </c>
      <c r="B108" s="263" t="s">
        <v>145</v>
      </c>
      <c r="C108" s="264"/>
      <c r="D108" s="264"/>
      <c r="E108" s="265"/>
      <c r="F108" s="89">
        <f t="shared" ref="F108:M108" si="47">F109+F126+F133+F137+F142+F145+F151+F160+F163+F164+F179+F201</f>
        <v>2959201</v>
      </c>
      <c r="G108" s="89">
        <f t="shared" si="47"/>
        <v>3930413.1100000003</v>
      </c>
      <c r="H108" s="89">
        <f t="shared" si="47"/>
        <v>2686022</v>
      </c>
      <c r="I108" s="89">
        <f t="shared" si="47"/>
        <v>932088</v>
      </c>
      <c r="J108" s="89">
        <f t="shared" si="47"/>
        <v>932088</v>
      </c>
      <c r="K108" s="89">
        <f t="shared" si="47"/>
        <v>896718</v>
      </c>
      <c r="L108" s="89">
        <f>L109+L126+L133+L137+L142+L145+L151+L160+L163+L164+L179+L201</f>
        <v>2930164.85</v>
      </c>
      <c r="M108" s="89">
        <f t="shared" si="47"/>
        <v>907534</v>
      </c>
    </row>
    <row r="109" spans="1:13" ht="25.5" outlineLevel="7">
      <c r="A109" s="116" t="s">
        <v>44</v>
      </c>
      <c r="B109" s="123"/>
      <c r="C109" s="124"/>
      <c r="D109" s="123"/>
      <c r="E109" s="123"/>
      <c r="F109" s="53">
        <f t="shared" ref="F109:M109" si="48">F110+F116+F122</f>
        <v>40000</v>
      </c>
      <c r="G109" s="53">
        <f t="shared" si="48"/>
        <v>40000</v>
      </c>
      <c r="H109" s="53">
        <f t="shared" si="48"/>
        <v>170000</v>
      </c>
      <c r="I109" s="53">
        <f t="shared" si="48"/>
        <v>170000</v>
      </c>
      <c r="J109" s="53">
        <f t="shared" si="48"/>
        <v>170000</v>
      </c>
      <c r="K109" s="53">
        <f t="shared" si="48"/>
        <v>20000</v>
      </c>
      <c r="L109" s="53">
        <f t="shared" si="48"/>
        <v>0</v>
      </c>
      <c r="M109" s="53">
        <f t="shared" si="48"/>
        <v>0</v>
      </c>
    </row>
    <row r="110" spans="1:13" ht="51" outlineLevel="7">
      <c r="A110" s="92" t="s">
        <v>109</v>
      </c>
      <c r="B110" s="32" t="s">
        <v>33</v>
      </c>
      <c r="C110" s="35" t="s">
        <v>110</v>
      </c>
      <c r="D110" s="32" t="s">
        <v>21</v>
      </c>
      <c r="E110" s="32" t="s">
        <v>45</v>
      </c>
      <c r="F110" s="68">
        <f t="shared" ref="F110" si="49">SUM(F111:F114)</f>
        <v>0</v>
      </c>
      <c r="G110" s="68"/>
      <c r="H110" s="68">
        <f t="shared" ref="H110:M110" si="50">SUM(H111:H114)</f>
        <v>0</v>
      </c>
      <c r="I110" s="68">
        <f t="shared" si="50"/>
        <v>0</v>
      </c>
      <c r="J110" s="68">
        <f t="shared" si="50"/>
        <v>0</v>
      </c>
      <c r="K110" s="68">
        <f t="shared" si="50"/>
        <v>0</v>
      </c>
      <c r="L110" s="68">
        <f t="shared" si="50"/>
        <v>0</v>
      </c>
      <c r="M110" s="68">
        <f t="shared" si="50"/>
        <v>0</v>
      </c>
    </row>
    <row r="111" spans="1:13" outlineLevel="7">
      <c r="A111" s="10"/>
      <c r="B111" s="26"/>
      <c r="C111" s="36"/>
      <c r="D111" s="26"/>
      <c r="E111" s="26"/>
      <c r="F111" s="65"/>
      <c r="G111" s="65"/>
      <c r="H111" s="65"/>
      <c r="I111" s="65"/>
      <c r="J111" s="65"/>
      <c r="K111" s="65"/>
      <c r="L111" s="65"/>
      <c r="M111" s="65"/>
    </row>
    <row r="112" spans="1:13" outlineLevel="7">
      <c r="A112" s="10"/>
      <c r="B112" s="26"/>
      <c r="C112" s="36"/>
      <c r="D112" s="26"/>
      <c r="E112" s="26"/>
      <c r="F112" s="65"/>
      <c r="G112" s="65"/>
      <c r="H112" s="65"/>
      <c r="I112" s="65"/>
      <c r="J112" s="65"/>
      <c r="K112" s="65"/>
      <c r="L112" s="65"/>
      <c r="M112" s="65"/>
    </row>
    <row r="113" spans="1:13" outlineLevel="7">
      <c r="A113" s="10"/>
      <c r="B113" s="26"/>
      <c r="C113" s="36"/>
      <c r="D113" s="26"/>
      <c r="E113" s="26"/>
      <c r="F113" s="65"/>
      <c r="G113" s="65"/>
      <c r="H113" s="65"/>
      <c r="I113" s="65"/>
      <c r="J113" s="65"/>
      <c r="K113" s="65"/>
      <c r="L113" s="65"/>
      <c r="M113" s="65"/>
    </row>
    <row r="114" spans="1:13" outlineLevel="7">
      <c r="A114" s="10"/>
      <c r="B114" s="26"/>
      <c r="C114" s="47"/>
      <c r="D114" s="26"/>
      <c r="E114" s="26"/>
      <c r="F114" s="65"/>
      <c r="G114" s="65"/>
      <c r="H114" s="65"/>
      <c r="I114" s="67"/>
      <c r="J114" s="67"/>
      <c r="K114" s="65"/>
      <c r="L114" s="67"/>
      <c r="M114" s="67"/>
    </row>
    <row r="115" spans="1:13" outlineLevel="7">
      <c r="A115" s="90"/>
      <c r="B115" s="32"/>
      <c r="C115" s="91"/>
      <c r="D115" s="32"/>
      <c r="E115" s="32"/>
      <c r="F115" s="68"/>
      <c r="G115" s="68"/>
      <c r="H115" s="68"/>
      <c r="I115" s="68"/>
      <c r="J115" s="68"/>
      <c r="K115" s="68"/>
      <c r="L115" s="68"/>
      <c r="M115" s="68"/>
    </row>
    <row r="116" spans="1:13" ht="38.25" outlineLevel="7">
      <c r="A116" s="94" t="s">
        <v>123</v>
      </c>
      <c r="B116" s="32" t="s">
        <v>34</v>
      </c>
      <c r="C116" s="35" t="s">
        <v>108</v>
      </c>
      <c r="D116" s="32" t="s">
        <v>21</v>
      </c>
      <c r="E116" s="32" t="s">
        <v>45</v>
      </c>
      <c r="F116" s="68">
        <f t="shared" ref="F116" si="51">SUM(F117:F121)</f>
        <v>0</v>
      </c>
      <c r="G116" s="68">
        <f>SUM(G117:G121)</f>
        <v>0</v>
      </c>
      <c r="H116" s="68">
        <f t="shared" ref="H116:M116" si="52">SUM(H117:H121)</f>
        <v>0</v>
      </c>
      <c r="I116" s="68">
        <f t="shared" si="52"/>
        <v>0</v>
      </c>
      <c r="J116" s="68">
        <f t="shared" si="52"/>
        <v>0</v>
      </c>
      <c r="K116" s="68">
        <f t="shared" si="52"/>
        <v>0</v>
      </c>
      <c r="L116" s="68">
        <f t="shared" si="52"/>
        <v>0</v>
      </c>
      <c r="M116" s="68">
        <f t="shared" si="52"/>
        <v>0</v>
      </c>
    </row>
    <row r="117" spans="1:13" outlineLevel="7">
      <c r="A117" s="72"/>
      <c r="B117" s="73"/>
      <c r="C117" s="36"/>
      <c r="D117" s="74"/>
      <c r="E117" s="26"/>
      <c r="F117" s="65"/>
      <c r="G117" s="65"/>
      <c r="H117" s="65"/>
      <c r="I117" s="65"/>
      <c r="J117" s="65"/>
      <c r="K117" s="65"/>
      <c r="L117" s="65"/>
      <c r="M117" s="65"/>
    </row>
    <row r="118" spans="1:13" outlineLevel="7">
      <c r="A118" s="72"/>
      <c r="B118" s="73"/>
      <c r="C118" s="36"/>
      <c r="D118" s="74"/>
      <c r="E118" s="26"/>
      <c r="F118" s="65"/>
      <c r="G118" s="65"/>
      <c r="H118" s="65"/>
      <c r="I118" s="65"/>
      <c r="J118" s="65"/>
      <c r="K118" s="65"/>
      <c r="L118" s="65"/>
      <c r="M118" s="65"/>
    </row>
    <row r="119" spans="1:13" outlineLevel="7">
      <c r="A119" s="72"/>
      <c r="B119" s="73"/>
      <c r="C119" s="36"/>
      <c r="D119" s="74"/>
      <c r="E119" s="26"/>
      <c r="F119" s="65"/>
      <c r="G119" s="65"/>
      <c r="H119" s="65"/>
      <c r="I119" s="65"/>
      <c r="J119" s="65"/>
      <c r="K119" s="65"/>
      <c r="L119" s="65"/>
      <c r="M119" s="65"/>
    </row>
    <row r="120" spans="1:13" outlineLevel="7">
      <c r="A120" s="170"/>
      <c r="B120" s="73"/>
      <c r="C120" s="36"/>
      <c r="D120" s="74"/>
      <c r="E120" s="26"/>
      <c r="F120" s="65"/>
      <c r="G120" s="65"/>
      <c r="H120" s="65"/>
      <c r="I120" s="65"/>
      <c r="J120" s="65"/>
      <c r="K120" s="65"/>
      <c r="L120" s="65"/>
      <c r="M120" s="65"/>
    </row>
    <row r="121" spans="1:13" outlineLevel="7">
      <c r="A121" s="170" t="s">
        <v>221</v>
      </c>
      <c r="B121" s="168"/>
      <c r="C121" s="48"/>
      <c r="D121" s="169"/>
      <c r="E121" s="28"/>
      <c r="F121" s="65"/>
      <c r="G121" s="65"/>
      <c r="H121" s="65"/>
      <c r="I121" s="65"/>
      <c r="J121" s="65"/>
      <c r="K121" s="65"/>
      <c r="L121" s="65"/>
      <c r="M121" s="65"/>
    </row>
    <row r="122" spans="1:13" ht="25.5" outlineLevel="7">
      <c r="A122" s="95" t="s">
        <v>115</v>
      </c>
      <c r="B122" s="84" t="s">
        <v>36</v>
      </c>
      <c r="C122" s="35" t="s">
        <v>116</v>
      </c>
      <c r="D122" s="85" t="s">
        <v>21</v>
      </c>
      <c r="E122" s="32" t="s">
        <v>45</v>
      </c>
      <c r="F122" s="68">
        <f t="shared" ref="F122:M122" si="53">SUM(F123:F125)</f>
        <v>40000</v>
      </c>
      <c r="G122" s="68">
        <f t="shared" si="53"/>
        <v>40000</v>
      </c>
      <c r="H122" s="68">
        <f t="shared" si="53"/>
        <v>170000</v>
      </c>
      <c r="I122" s="68">
        <f t="shared" si="53"/>
        <v>170000</v>
      </c>
      <c r="J122" s="68">
        <f t="shared" si="53"/>
        <v>170000</v>
      </c>
      <c r="K122" s="68">
        <f t="shared" si="53"/>
        <v>20000</v>
      </c>
      <c r="L122" s="68">
        <f t="shared" si="53"/>
        <v>0</v>
      </c>
      <c r="M122" s="68">
        <f t="shared" si="53"/>
        <v>0</v>
      </c>
    </row>
    <row r="123" spans="1:13" outlineLevel="7">
      <c r="A123" s="139" t="s">
        <v>183</v>
      </c>
      <c r="B123" s="74"/>
      <c r="C123" s="36"/>
      <c r="D123" s="26"/>
      <c r="E123" s="26"/>
      <c r="F123" s="57">
        <v>30000</v>
      </c>
      <c r="G123" s="57">
        <v>13505</v>
      </c>
      <c r="H123" s="57">
        <v>150000</v>
      </c>
      <c r="I123" s="57">
        <v>150000</v>
      </c>
      <c r="J123" s="57">
        <v>150000</v>
      </c>
      <c r="K123" s="57"/>
      <c r="L123" s="57"/>
      <c r="M123" s="57"/>
    </row>
    <row r="124" spans="1:13" outlineLevel="3">
      <c r="A124" s="139" t="s">
        <v>215</v>
      </c>
      <c r="B124" s="74"/>
      <c r="C124" s="36"/>
      <c r="D124" s="26"/>
      <c r="E124" s="26"/>
      <c r="F124" s="65">
        <v>10000</v>
      </c>
      <c r="G124" s="65">
        <v>26495</v>
      </c>
      <c r="H124" s="65">
        <v>20000</v>
      </c>
      <c r="I124" s="65">
        <v>20000</v>
      </c>
      <c r="J124" s="65">
        <v>20000</v>
      </c>
      <c r="K124" s="65">
        <v>20000</v>
      </c>
      <c r="L124" s="65"/>
      <c r="M124" s="65"/>
    </row>
    <row r="125" spans="1:13" outlineLevel="4">
      <c r="A125" s="140" t="s">
        <v>221</v>
      </c>
      <c r="B125" s="26"/>
      <c r="C125" s="30"/>
      <c r="D125" s="26"/>
      <c r="E125" s="26"/>
      <c r="F125" s="65"/>
      <c r="G125" s="65"/>
      <c r="H125" s="65"/>
      <c r="I125" s="65"/>
      <c r="J125" s="65"/>
      <c r="K125" s="65"/>
      <c r="L125" s="65"/>
      <c r="M125" s="65"/>
    </row>
    <row r="126" spans="1:13" ht="25.5" outlineLevel="4">
      <c r="A126" s="7" t="s">
        <v>64</v>
      </c>
      <c r="B126" s="123"/>
      <c r="C126" s="18" t="s">
        <v>127</v>
      </c>
      <c r="D126" s="17" t="s">
        <v>21</v>
      </c>
      <c r="E126" s="17" t="s">
        <v>52</v>
      </c>
      <c r="F126" s="53">
        <f t="shared" ref="F126:M126" si="54">F127+F131+F132</f>
        <v>0</v>
      </c>
      <c r="G126" s="53">
        <f t="shared" si="54"/>
        <v>0</v>
      </c>
      <c r="H126" s="53">
        <f t="shared" si="54"/>
        <v>0</v>
      </c>
      <c r="I126" s="53">
        <f t="shared" si="54"/>
        <v>0</v>
      </c>
      <c r="J126" s="53">
        <f t="shared" si="54"/>
        <v>0</v>
      </c>
      <c r="K126" s="53">
        <f t="shared" si="54"/>
        <v>0</v>
      </c>
      <c r="L126" s="53">
        <f t="shared" si="54"/>
        <v>0</v>
      </c>
      <c r="M126" s="53">
        <f t="shared" si="54"/>
        <v>0</v>
      </c>
    </row>
    <row r="127" spans="1:13" outlineLevel="4">
      <c r="A127" s="5"/>
      <c r="B127" s="33" t="s">
        <v>30</v>
      </c>
      <c r="C127" s="20" t="s">
        <v>127</v>
      </c>
      <c r="D127" s="33" t="s">
        <v>21</v>
      </c>
      <c r="E127" s="33" t="s">
        <v>52</v>
      </c>
      <c r="F127" s="63">
        <f t="shared" ref="F127" si="55">SUM(F128:F130)</f>
        <v>0</v>
      </c>
      <c r="G127" s="63">
        <f>SUM(G128:G130)</f>
        <v>0</v>
      </c>
      <c r="H127" s="63">
        <f t="shared" ref="H127:M127" si="56">SUM(H128:H130)</f>
        <v>0</v>
      </c>
      <c r="I127" s="63">
        <f t="shared" si="56"/>
        <v>0</v>
      </c>
      <c r="J127" s="63">
        <f t="shared" si="56"/>
        <v>0</v>
      </c>
      <c r="K127" s="63">
        <f t="shared" si="56"/>
        <v>0</v>
      </c>
      <c r="L127" s="63">
        <f t="shared" si="56"/>
        <v>0</v>
      </c>
      <c r="M127" s="63">
        <f t="shared" si="56"/>
        <v>0</v>
      </c>
    </row>
    <row r="128" spans="1:13" outlineLevel="4">
      <c r="A128" s="9"/>
      <c r="B128" s="24"/>
      <c r="C128" s="25"/>
      <c r="D128" s="24"/>
      <c r="E128" s="24"/>
      <c r="F128" s="57"/>
      <c r="G128" s="57"/>
      <c r="H128" s="57"/>
      <c r="I128" s="57"/>
      <c r="J128" s="57"/>
      <c r="K128" s="57"/>
      <c r="L128" s="57"/>
      <c r="M128" s="57"/>
    </row>
    <row r="129" spans="1:13" outlineLevel="4">
      <c r="A129" s="9"/>
      <c r="B129" s="24"/>
      <c r="C129" s="25"/>
      <c r="D129" s="24"/>
      <c r="E129" s="24"/>
      <c r="F129" s="57"/>
      <c r="G129" s="57"/>
      <c r="H129" s="57"/>
      <c r="I129" s="57"/>
      <c r="J129" s="57"/>
      <c r="K129" s="57"/>
      <c r="L129" s="57"/>
      <c r="M129" s="57"/>
    </row>
    <row r="130" spans="1:13" outlineLevel="4">
      <c r="A130" s="8" t="s">
        <v>221</v>
      </c>
      <c r="B130" s="22"/>
      <c r="C130" s="23"/>
      <c r="D130" s="22"/>
      <c r="E130" s="22"/>
      <c r="F130" s="57"/>
      <c r="G130" s="57"/>
      <c r="H130" s="57"/>
      <c r="I130" s="57"/>
      <c r="J130" s="57"/>
      <c r="K130" s="57"/>
      <c r="L130" s="57"/>
      <c r="M130" s="57"/>
    </row>
    <row r="131" spans="1:13" outlineLevel="4">
      <c r="A131" s="4"/>
      <c r="B131" s="19" t="s">
        <v>33</v>
      </c>
      <c r="C131" s="20" t="s">
        <v>127</v>
      </c>
      <c r="D131" s="33" t="s">
        <v>21</v>
      </c>
      <c r="E131" s="33" t="s">
        <v>52</v>
      </c>
      <c r="F131" s="56"/>
      <c r="G131" s="56"/>
      <c r="H131" s="56"/>
      <c r="I131" s="56"/>
      <c r="J131" s="56"/>
      <c r="K131" s="56"/>
      <c r="L131" s="56"/>
      <c r="M131" s="56"/>
    </row>
    <row r="132" spans="1:13" outlineLevel="7">
      <c r="A132" s="4"/>
      <c r="B132" s="19" t="s">
        <v>34</v>
      </c>
      <c r="C132" s="20" t="s">
        <v>127</v>
      </c>
      <c r="D132" s="33" t="s">
        <v>21</v>
      </c>
      <c r="E132" s="33" t="s">
        <v>52</v>
      </c>
      <c r="F132" s="55"/>
      <c r="G132" s="55"/>
      <c r="H132" s="55"/>
      <c r="I132" s="55"/>
      <c r="J132" s="55"/>
      <c r="K132" s="55"/>
      <c r="L132" s="55"/>
      <c r="M132" s="55"/>
    </row>
    <row r="133" spans="1:13" ht="25.5" outlineLevel="7">
      <c r="A133" s="7" t="s">
        <v>129</v>
      </c>
      <c r="B133" s="96" t="s">
        <v>33</v>
      </c>
      <c r="C133" s="100" t="s">
        <v>130</v>
      </c>
      <c r="D133" s="98" t="s">
        <v>21</v>
      </c>
      <c r="E133" s="17"/>
      <c r="F133" s="53">
        <f t="shared" ref="F133" si="57">SUM(F134:F136)</f>
        <v>0</v>
      </c>
      <c r="G133" s="53"/>
      <c r="H133" s="53">
        <f t="shared" ref="H133:M133" si="58">SUM(H134:H136)</f>
        <v>0</v>
      </c>
      <c r="I133" s="53">
        <f t="shared" si="58"/>
        <v>0</v>
      </c>
      <c r="J133" s="53">
        <f t="shared" si="58"/>
        <v>0</v>
      </c>
      <c r="K133" s="53">
        <f t="shared" si="58"/>
        <v>0</v>
      </c>
      <c r="L133" s="53">
        <f t="shared" si="58"/>
        <v>0</v>
      </c>
      <c r="M133" s="53">
        <f t="shared" si="58"/>
        <v>0</v>
      </c>
    </row>
    <row r="134" spans="1:13" outlineLevel="7">
      <c r="A134" s="8"/>
      <c r="B134" s="97"/>
      <c r="C134" s="101"/>
      <c r="D134" s="83"/>
      <c r="E134" s="22"/>
      <c r="F134" s="58"/>
      <c r="G134" s="58"/>
      <c r="H134" s="58"/>
      <c r="I134" s="58"/>
      <c r="J134" s="58"/>
      <c r="K134" s="58"/>
      <c r="L134" s="58"/>
      <c r="M134" s="58"/>
    </row>
    <row r="135" spans="1:13" outlineLevel="7">
      <c r="A135" s="8"/>
      <c r="B135" s="97"/>
      <c r="C135" s="101"/>
      <c r="D135" s="83"/>
      <c r="E135" s="22"/>
      <c r="F135" s="58"/>
      <c r="G135" s="58"/>
      <c r="H135" s="58"/>
      <c r="I135" s="58"/>
      <c r="J135" s="58"/>
      <c r="K135" s="58"/>
      <c r="L135" s="58"/>
      <c r="M135" s="58"/>
    </row>
    <row r="136" spans="1:13" outlineLevel="7">
      <c r="A136" s="8"/>
      <c r="B136" s="97"/>
      <c r="C136" s="101"/>
      <c r="D136" s="83"/>
      <c r="E136" s="22"/>
      <c r="F136" s="58"/>
      <c r="G136" s="58"/>
      <c r="H136" s="58"/>
      <c r="I136" s="58"/>
      <c r="J136" s="58"/>
      <c r="K136" s="58"/>
      <c r="L136" s="58"/>
      <c r="M136" s="58"/>
    </row>
    <row r="137" spans="1:13" outlineLevel="7">
      <c r="A137" s="7" t="s">
        <v>35</v>
      </c>
      <c r="B137" s="96" t="s">
        <v>34</v>
      </c>
      <c r="C137" s="100" t="s">
        <v>131</v>
      </c>
      <c r="D137" s="98" t="s">
        <v>21</v>
      </c>
      <c r="E137" s="17" t="s">
        <v>52</v>
      </c>
      <c r="F137" s="53">
        <f t="shared" ref="F137" si="59">SUM(F138:F141)</f>
        <v>0</v>
      </c>
      <c r="G137" s="53"/>
      <c r="H137" s="53">
        <f t="shared" ref="H137:M137" si="60">SUM(H138:H141)</f>
        <v>0</v>
      </c>
      <c r="I137" s="53">
        <f t="shared" si="60"/>
        <v>0</v>
      </c>
      <c r="J137" s="53">
        <f t="shared" si="60"/>
        <v>0</v>
      </c>
      <c r="K137" s="53">
        <f t="shared" si="60"/>
        <v>0</v>
      </c>
      <c r="L137" s="53">
        <f t="shared" si="60"/>
        <v>0</v>
      </c>
      <c r="M137" s="53">
        <f t="shared" si="60"/>
        <v>0</v>
      </c>
    </row>
    <row r="138" spans="1:13" outlineLevel="7">
      <c r="A138" s="7"/>
      <c r="B138" s="96"/>
      <c r="C138" s="100"/>
      <c r="D138" s="98"/>
      <c r="E138" s="17"/>
      <c r="F138" s="53"/>
      <c r="G138" s="53"/>
      <c r="H138" s="53"/>
      <c r="I138" s="53"/>
      <c r="J138" s="53"/>
      <c r="K138" s="53"/>
      <c r="L138" s="53"/>
      <c r="M138" s="53"/>
    </row>
    <row r="139" spans="1:13" outlineLevel="7">
      <c r="A139" s="7"/>
      <c r="B139" s="96"/>
      <c r="C139" s="100"/>
      <c r="D139" s="98"/>
      <c r="E139" s="17"/>
      <c r="F139" s="53"/>
      <c r="G139" s="53"/>
      <c r="H139" s="53"/>
      <c r="I139" s="53"/>
      <c r="J139" s="53"/>
      <c r="K139" s="53"/>
      <c r="L139" s="53"/>
      <c r="M139" s="53"/>
    </row>
    <row r="140" spans="1:13" outlineLevel="7">
      <c r="A140" s="7"/>
      <c r="B140" s="96"/>
      <c r="C140" s="100"/>
      <c r="D140" s="98"/>
      <c r="E140" s="17"/>
      <c r="F140" s="53"/>
      <c r="G140" s="53"/>
      <c r="H140" s="53"/>
      <c r="I140" s="53"/>
      <c r="J140" s="53"/>
      <c r="K140" s="53"/>
      <c r="L140" s="53"/>
      <c r="M140" s="53"/>
    </row>
    <row r="141" spans="1:13" outlineLevel="7">
      <c r="A141" s="8"/>
      <c r="B141" s="97"/>
      <c r="C141" s="101"/>
      <c r="D141" s="83"/>
      <c r="E141" s="22"/>
      <c r="F141" s="58"/>
      <c r="G141" s="58"/>
      <c r="H141" s="58"/>
      <c r="I141" s="58"/>
      <c r="J141" s="58"/>
      <c r="K141" s="58"/>
      <c r="L141" s="58"/>
      <c r="M141" s="58"/>
    </row>
    <row r="142" spans="1:13" ht="25.5" outlineLevel="7">
      <c r="A142" s="172" t="s">
        <v>211</v>
      </c>
      <c r="B142" s="96" t="s">
        <v>36</v>
      </c>
      <c r="C142" s="21" t="s">
        <v>212</v>
      </c>
      <c r="D142" s="17" t="s">
        <v>21</v>
      </c>
      <c r="E142" s="17"/>
      <c r="F142" s="62">
        <f t="shared" ref="F142:M142" si="61">SUM(F143:F144)</f>
        <v>0</v>
      </c>
      <c r="G142" s="62">
        <f t="shared" si="61"/>
        <v>0</v>
      </c>
      <c r="H142" s="62">
        <f t="shared" si="61"/>
        <v>0</v>
      </c>
      <c r="I142" s="62">
        <f t="shared" si="61"/>
        <v>0</v>
      </c>
      <c r="J142" s="62">
        <f t="shared" si="61"/>
        <v>0</v>
      </c>
      <c r="K142" s="62">
        <f t="shared" si="61"/>
        <v>0</v>
      </c>
      <c r="L142" s="62">
        <f t="shared" si="61"/>
        <v>0</v>
      </c>
      <c r="M142" s="62">
        <f t="shared" si="61"/>
        <v>0</v>
      </c>
    </row>
    <row r="143" spans="1:13" outlineLevel="7">
      <c r="A143" s="44" t="s">
        <v>240</v>
      </c>
      <c r="B143" s="173" t="s">
        <v>36</v>
      </c>
      <c r="C143" s="30" t="s">
        <v>212</v>
      </c>
      <c r="D143" s="22" t="s">
        <v>21</v>
      </c>
      <c r="E143" s="22" t="s">
        <v>52</v>
      </c>
      <c r="F143" s="58"/>
      <c r="G143" s="58"/>
      <c r="H143" s="58"/>
      <c r="I143" s="58"/>
      <c r="J143" s="58"/>
      <c r="K143" s="58"/>
      <c r="L143" s="58"/>
      <c r="M143" s="58"/>
    </row>
    <row r="144" spans="1:13" outlineLevel="7">
      <c r="A144" s="44" t="s">
        <v>241</v>
      </c>
      <c r="B144" s="173" t="s">
        <v>36</v>
      </c>
      <c r="C144" s="30" t="s">
        <v>212</v>
      </c>
      <c r="D144" s="22" t="s">
        <v>21</v>
      </c>
      <c r="E144" s="22" t="s">
        <v>45</v>
      </c>
      <c r="F144" s="159"/>
      <c r="G144" s="159"/>
      <c r="H144" s="159"/>
      <c r="I144" s="159"/>
      <c r="J144" s="159"/>
      <c r="K144" s="159"/>
      <c r="L144" s="159"/>
      <c r="M144" s="159"/>
    </row>
    <row r="145" spans="1:13" outlineLevel="7">
      <c r="A145" s="116" t="s">
        <v>63</v>
      </c>
      <c r="B145" s="123" t="s">
        <v>223</v>
      </c>
      <c r="C145" s="157" t="s">
        <v>128</v>
      </c>
      <c r="D145" s="123" t="s">
        <v>21</v>
      </c>
      <c r="E145" s="123"/>
      <c r="F145" s="53">
        <f t="shared" ref="F145:M145" si="62">SUM(F146:F150)</f>
        <v>10000</v>
      </c>
      <c r="G145" s="53">
        <f t="shared" si="62"/>
        <v>156000</v>
      </c>
      <c r="H145" s="53">
        <f t="shared" si="62"/>
        <v>80000</v>
      </c>
      <c r="I145" s="53">
        <f t="shared" si="62"/>
        <v>80000</v>
      </c>
      <c r="J145" s="53">
        <f t="shared" si="62"/>
        <v>80000</v>
      </c>
      <c r="K145" s="53">
        <f t="shared" si="62"/>
        <v>0</v>
      </c>
      <c r="L145" s="53">
        <f t="shared" si="62"/>
        <v>0</v>
      </c>
      <c r="M145" s="53">
        <f t="shared" si="62"/>
        <v>80000</v>
      </c>
    </row>
    <row r="146" spans="1:13" outlineLevel="7">
      <c r="A146" s="69" t="s">
        <v>225</v>
      </c>
      <c r="B146" s="194"/>
      <c r="C146" s="195"/>
      <c r="D146" s="194"/>
      <c r="E146" s="194" t="s">
        <v>52</v>
      </c>
      <c r="F146" s="64">
        <v>10000</v>
      </c>
      <c r="G146" s="64"/>
      <c r="H146" s="64">
        <v>80000</v>
      </c>
      <c r="I146" s="64">
        <v>80000</v>
      </c>
      <c r="J146" s="64">
        <v>80000</v>
      </c>
      <c r="K146" s="64">
        <v>0</v>
      </c>
      <c r="L146" s="64">
        <v>0</v>
      </c>
      <c r="M146" s="64">
        <v>80000</v>
      </c>
    </row>
    <row r="147" spans="1:13" outlineLevel="7">
      <c r="A147" s="192" t="s">
        <v>224</v>
      </c>
      <c r="B147" s="200"/>
      <c r="C147" s="201"/>
      <c r="D147" s="200"/>
      <c r="E147" s="200" t="s">
        <v>45</v>
      </c>
      <c r="F147" s="64"/>
      <c r="G147" s="193">
        <v>66000</v>
      </c>
      <c r="H147" s="64"/>
      <c r="I147" s="64"/>
      <c r="J147" s="64"/>
      <c r="K147" s="64"/>
      <c r="L147" s="64"/>
      <c r="M147" s="64"/>
    </row>
    <row r="148" spans="1:13" outlineLevel="7">
      <c r="A148" s="146"/>
      <c r="B148" s="196"/>
      <c r="C148" s="197"/>
      <c r="D148" s="198"/>
      <c r="E148" s="199"/>
      <c r="F148" s="151"/>
      <c r="G148" s="151"/>
      <c r="H148" s="151"/>
      <c r="I148" s="151"/>
      <c r="J148" s="151"/>
      <c r="K148" s="151"/>
      <c r="L148" s="151"/>
      <c r="M148" s="151"/>
    </row>
    <row r="149" spans="1:13" ht="15.75" customHeight="1" outlineLevel="7">
      <c r="A149" s="146"/>
      <c r="B149" s="147"/>
      <c r="C149" s="148"/>
      <c r="D149" s="149"/>
      <c r="E149" s="150"/>
      <c r="F149" s="151"/>
      <c r="G149" s="151"/>
      <c r="H149" s="151"/>
      <c r="I149" s="151"/>
      <c r="J149" s="151"/>
      <c r="K149" s="151"/>
      <c r="L149" s="151"/>
      <c r="M149" s="151"/>
    </row>
    <row r="150" spans="1:13" outlineLevel="7">
      <c r="A150" s="8" t="s">
        <v>221</v>
      </c>
      <c r="B150" s="22"/>
      <c r="C150" s="99"/>
      <c r="D150" s="22"/>
      <c r="E150" s="22"/>
      <c r="F150" s="58"/>
      <c r="G150" s="58">
        <f>76000+80000-SUM(G146:G149)</f>
        <v>90000</v>
      </c>
      <c r="H150" s="58"/>
      <c r="I150" s="58"/>
      <c r="J150" s="58"/>
      <c r="K150" s="58"/>
      <c r="L150" s="58"/>
      <c r="M150" s="58"/>
    </row>
    <row r="151" spans="1:13" outlineLevel="7">
      <c r="A151" s="7" t="s">
        <v>133</v>
      </c>
      <c r="B151" s="17" t="s">
        <v>36</v>
      </c>
      <c r="C151" s="35" t="s">
        <v>132</v>
      </c>
      <c r="D151" s="17"/>
      <c r="E151" s="17"/>
      <c r="F151" s="53">
        <f t="shared" ref="F151:M151" si="63">F152+F158+F159</f>
        <v>258660</v>
      </c>
      <c r="G151" s="53">
        <f t="shared" si="63"/>
        <v>283660</v>
      </c>
      <c r="H151" s="53">
        <f t="shared" si="63"/>
        <v>238660</v>
      </c>
      <c r="I151" s="53">
        <f t="shared" si="63"/>
        <v>238660</v>
      </c>
      <c r="J151" s="53">
        <f t="shared" si="63"/>
        <v>238660</v>
      </c>
      <c r="K151" s="53">
        <f t="shared" si="63"/>
        <v>332111</v>
      </c>
      <c r="L151" s="53">
        <f t="shared" si="63"/>
        <v>50000</v>
      </c>
      <c r="M151" s="53">
        <f t="shared" si="63"/>
        <v>384106</v>
      </c>
    </row>
    <row r="152" spans="1:13" outlineLevel="7">
      <c r="A152" s="7"/>
      <c r="B152" s="33" t="s">
        <v>36</v>
      </c>
      <c r="C152" s="93" t="s">
        <v>132</v>
      </c>
      <c r="D152" s="33" t="s">
        <v>21</v>
      </c>
      <c r="E152" s="33" t="s">
        <v>52</v>
      </c>
      <c r="F152" s="63">
        <f>SUM(F153:F156)</f>
        <v>58660</v>
      </c>
      <c r="G152" s="63">
        <f>SUM(G153:G157)</f>
        <v>83660</v>
      </c>
      <c r="H152" s="63">
        <f t="shared" ref="H152:M152" si="64">SUM(H153:H156)</f>
        <v>38660</v>
      </c>
      <c r="I152" s="63">
        <f t="shared" si="64"/>
        <v>38660</v>
      </c>
      <c r="J152" s="63">
        <f t="shared" si="64"/>
        <v>38660</v>
      </c>
      <c r="K152" s="63">
        <f t="shared" si="64"/>
        <v>132111</v>
      </c>
      <c r="L152" s="63">
        <f t="shared" si="64"/>
        <v>0</v>
      </c>
      <c r="M152" s="63">
        <f t="shared" si="64"/>
        <v>184106</v>
      </c>
    </row>
    <row r="153" spans="1:13" outlineLevel="7">
      <c r="A153" s="8" t="s">
        <v>37</v>
      </c>
      <c r="B153" s="22"/>
      <c r="C153" s="23"/>
      <c r="D153" s="22"/>
      <c r="E153" s="22"/>
      <c r="F153" s="58"/>
      <c r="G153" s="58"/>
      <c r="H153" s="58"/>
      <c r="I153" s="58"/>
      <c r="J153" s="58"/>
      <c r="K153" s="58"/>
      <c r="L153" s="58"/>
      <c r="M153" s="58"/>
    </row>
    <row r="154" spans="1:13" outlineLevel="7">
      <c r="A154" s="8" t="s">
        <v>81</v>
      </c>
      <c r="B154" s="22"/>
      <c r="C154" s="23"/>
      <c r="D154" s="22"/>
      <c r="E154" s="22"/>
      <c r="F154" s="58">
        <v>58660</v>
      </c>
      <c r="G154" s="58"/>
      <c r="H154" s="58">
        <v>18660</v>
      </c>
      <c r="I154" s="58">
        <v>18660</v>
      </c>
      <c r="J154" s="58">
        <v>18660</v>
      </c>
      <c r="K154" s="58">
        <v>112111</v>
      </c>
      <c r="L154" s="58">
        <v>0</v>
      </c>
      <c r="M154" s="58">
        <f>18660+25915+126331-6800</f>
        <v>164106</v>
      </c>
    </row>
    <row r="155" spans="1:13" outlineLevel="7">
      <c r="A155" s="8" t="s">
        <v>201</v>
      </c>
      <c r="B155" s="22"/>
      <c r="C155" s="99"/>
      <c r="D155" s="22"/>
      <c r="E155" s="22"/>
      <c r="F155" s="58"/>
      <c r="G155" s="58"/>
      <c r="H155" s="58"/>
      <c r="I155" s="58"/>
      <c r="J155" s="58"/>
      <c r="K155" s="58"/>
      <c r="L155" s="58"/>
      <c r="M155" s="58"/>
    </row>
    <row r="156" spans="1:13" outlineLevel="7">
      <c r="A156" s="8" t="s">
        <v>38</v>
      </c>
      <c r="B156" s="97"/>
      <c r="C156" s="101"/>
      <c r="D156" s="83"/>
      <c r="E156" s="22"/>
      <c r="F156" s="58"/>
      <c r="G156" s="58">
        <v>68382.179999999993</v>
      </c>
      <c r="H156" s="58">
        <v>20000</v>
      </c>
      <c r="I156" s="58">
        <v>20000</v>
      </c>
      <c r="J156" s="58">
        <v>20000</v>
      </c>
      <c r="K156" s="58">
        <v>20000</v>
      </c>
      <c r="L156" s="58">
        <v>0</v>
      </c>
      <c r="M156" s="58">
        <v>20000</v>
      </c>
    </row>
    <row r="157" spans="1:13" outlineLevel="7">
      <c r="A157" s="8" t="s">
        <v>221</v>
      </c>
      <c r="B157" s="202"/>
      <c r="C157" s="101"/>
      <c r="D157" s="203"/>
      <c r="E157" s="80"/>
      <c r="F157" s="58"/>
      <c r="G157" s="58">
        <f>83660-SUM(G153:G156)</f>
        <v>15277.820000000007</v>
      </c>
      <c r="H157" s="58"/>
      <c r="I157" s="58"/>
      <c r="J157" s="58"/>
      <c r="K157" s="58"/>
      <c r="L157" s="58"/>
      <c r="M157" s="58"/>
    </row>
    <row r="158" spans="1:13" outlineLevel="7">
      <c r="A158" s="158" t="s">
        <v>184</v>
      </c>
      <c r="B158" s="238" t="s">
        <v>36</v>
      </c>
      <c r="C158" s="240" t="s">
        <v>132</v>
      </c>
      <c r="D158" s="242" t="s">
        <v>180</v>
      </c>
      <c r="E158" s="242" t="s">
        <v>52</v>
      </c>
      <c r="F158" s="159">
        <v>200000</v>
      </c>
      <c r="G158" s="159">
        <v>179586</v>
      </c>
      <c r="H158" s="159">
        <v>200000</v>
      </c>
      <c r="I158" s="159">
        <v>200000</v>
      </c>
      <c r="J158" s="159">
        <v>200000</v>
      </c>
      <c r="K158" s="159">
        <v>200000</v>
      </c>
      <c r="L158" s="159">
        <v>50000</v>
      </c>
      <c r="M158" s="159">
        <v>200000</v>
      </c>
    </row>
    <row r="159" spans="1:13" outlineLevel="7">
      <c r="A159" s="9" t="s">
        <v>221</v>
      </c>
      <c r="B159" s="239"/>
      <c r="C159" s="241"/>
      <c r="D159" s="243"/>
      <c r="E159" s="243"/>
      <c r="F159" s="159"/>
      <c r="G159" s="159">
        <f>200000-G158</f>
        <v>20414</v>
      </c>
      <c r="H159" s="159"/>
      <c r="I159" s="159"/>
      <c r="J159" s="159"/>
      <c r="K159" s="159"/>
      <c r="L159" s="159"/>
      <c r="M159" s="159"/>
    </row>
    <row r="160" spans="1:13" outlineLevel="7">
      <c r="A160" s="7" t="s">
        <v>134</v>
      </c>
      <c r="B160" s="17" t="s">
        <v>36</v>
      </c>
      <c r="C160" s="35" t="s">
        <v>140</v>
      </c>
      <c r="D160" s="17" t="s">
        <v>21</v>
      </c>
      <c r="E160" s="17" t="s">
        <v>52</v>
      </c>
      <c r="F160" s="62">
        <f t="shared" ref="F160:J160" si="65">SUM(F161:F162)</f>
        <v>10000</v>
      </c>
      <c r="G160" s="62">
        <f t="shared" si="65"/>
        <v>12900</v>
      </c>
      <c r="H160" s="62">
        <f t="shared" si="65"/>
        <v>10000</v>
      </c>
      <c r="I160" s="62">
        <f t="shared" si="65"/>
        <v>10000</v>
      </c>
      <c r="J160" s="62">
        <f t="shared" si="65"/>
        <v>10000</v>
      </c>
      <c r="K160" s="62">
        <f t="shared" ref="K160:M160" si="66">SUM(K161:K162)</f>
        <v>10000</v>
      </c>
      <c r="L160" s="62">
        <f t="shared" si="66"/>
        <v>10000</v>
      </c>
      <c r="M160" s="62">
        <f t="shared" si="66"/>
        <v>10000</v>
      </c>
    </row>
    <row r="161" spans="1:13" outlineLevel="7">
      <c r="A161" s="8" t="s">
        <v>135</v>
      </c>
      <c r="B161" s="97"/>
      <c r="C161" s="101"/>
      <c r="D161" s="83"/>
      <c r="E161" s="22"/>
      <c r="F161" s="58">
        <v>10000</v>
      </c>
      <c r="G161" s="58">
        <v>12900</v>
      </c>
      <c r="H161" s="58">
        <v>10000</v>
      </c>
      <c r="I161" s="58">
        <v>10000</v>
      </c>
      <c r="J161" s="58">
        <v>10000</v>
      </c>
      <c r="K161" s="58">
        <v>10000</v>
      </c>
      <c r="L161" s="58">
        <v>10000</v>
      </c>
      <c r="M161" s="58">
        <v>10000</v>
      </c>
    </row>
    <row r="162" spans="1:13" outlineLevel="7">
      <c r="A162" s="8" t="s">
        <v>221</v>
      </c>
      <c r="B162" s="97"/>
      <c r="C162" s="101"/>
      <c r="D162" s="83"/>
      <c r="E162" s="22"/>
      <c r="F162" s="58"/>
      <c r="G162" s="58"/>
      <c r="H162" s="58"/>
      <c r="I162" s="58"/>
      <c r="J162" s="58"/>
      <c r="K162" s="58"/>
      <c r="L162" s="58"/>
      <c r="M162" s="58"/>
    </row>
    <row r="163" spans="1:13" ht="25.5" outlineLevel="7">
      <c r="A163" s="7" t="s">
        <v>227</v>
      </c>
      <c r="B163" s="17" t="s">
        <v>36</v>
      </c>
      <c r="C163" s="35" t="s">
        <v>139</v>
      </c>
      <c r="D163" s="17" t="s">
        <v>21</v>
      </c>
      <c r="E163" s="17" t="s">
        <v>45</v>
      </c>
      <c r="F163" s="62"/>
      <c r="G163" s="62"/>
      <c r="H163" s="62"/>
      <c r="I163" s="62"/>
      <c r="J163" s="62"/>
      <c r="K163" s="62"/>
      <c r="L163" s="62"/>
      <c r="M163" s="62"/>
    </row>
    <row r="164" spans="1:13" outlineLevel="7">
      <c r="A164" s="7" t="s">
        <v>62</v>
      </c>
      <c r="B164" s="17" t="s">
        <v>36</v>
      </c>
      <c r="C164" s="35" t="s">
        <v>139</v>
      </c>
      <c r="D164" s="17" t="s">
        <v>21</v>
      </c>
      <c r="E164" s="17" t="s">
        <v>52</v>
      </c>
      <c r="F164" s="53">
        <f t="shared" ref="F164:M164" si="67">SUM(F165:F178)</f>
        <v>235000</v>
      </c>
      <c r="G164" s="53">
        <f t="shared" si="67"/>
        <v>732397.8</v>
      </c>
      <c r="H164" s="53">
        <f t="shared" si="67"/>
        <v>718808</v>
      </c>
      <c r="I164" s="53">
        <f t="shared" si="67"/>
        <v>433428</v>
      </c>
      <c r="J164" s="53">
        <f t="shared" si="67"/>
        <v>433428</v>
      </c>
      <c r="K164" s="53">
        <f t="shared" si="67"/>
        <v>66053</v>
      </c>
      <c r="L164" s="53">
        <f t="shared" si="67"/>
        <v>13022</v>
      </c>
      <c r="M164" s="53">
        <f t="shared" si="67"/>
        <v>433428</v>
      </c>
    </row>
    <row r="165" spans="1:13" outlineLevel="7">
      <c r="A165" s="9" t="s">
        <v>136</v>
      </c>
      <c r="B165" s="24"/>
      <c r="C165" s="182"/>
      <c r="D165" s="24"/>
      <c r="E165" s="24"/>
      <c r="F165" s="58"/>
      <c r="G165" s="58">
        <v>54000</v>
      </c>
      <c r="H165" s="58">
        <v>128808</v>
      </c>
      <c r="I165" s="58"/>
      <c r="J165" s="58"/>
      <c r="K165" s="58">
        <v>0</v>
      </c>
      <c r="L165" s="58"/>
      <c r="M165" s="58"/>
    </row>
    <row r="166" spans="1:13" outlineLevel="7">
      <c r="A166" s="9" t="s">
        <v>233</v>
      </c>
      <c r="B166" s="22"/>
      <c r="C166" s="23"/>
      <c r="D166" s="22"/>
      <c r="E166" s="22"/>
      <c r="F166" s="58"/>
      <c r="G166" s="58">
        <v>12000</v>
      </c>
      <c r="H166" s="58">
        <v>50000</v>
      </c>
      <c r="I166" s="58">
        <v>50000</v>
      </c>
      <c r="J166" s="58">
        <v>50000</v>
      </c>
      <c r="K166" s="58">
        <f>30000-13947</f>
        <v>16053</v>
      </c>
      <c r="L166" s="58">
        <f>50000-36978</f>
        <v>13022</v>
      </c>
      <c r="M166" s="58">
        <v>50000</v>
      </c>
    </row>
    <row r="167" spans="1:13" outlineLevel="7">
      <c r="A167" s="9" t="s">
        <v>259</v>
      </c>
      <c r="B167" s="22"/>
      <c r="C167" s="23"/>
      <c r="D167" s="22"/>
      <c r="E167" s="22"/>
      <c r="F167" s="58"/>
      <c r="G167" s="58"/>
      <c r="H167" s="58">
        <v>150000</v>
      </c>
      <c r="I167" s="58"/>
      <c r="J167" s="58"/>
      <c r="K167" s="58">
        <v>0</v>
      </c>
      <c r="L167" s="58"/>
      <c r="M167" s="58"/>
    </row>
    <row r="168" spans="1:13" outlineLevel="7">
      <c r="A168" s="9" t="s">
        <v>234</v>
      </c>
      <c r="B168" s="22"/>
      <c r="C168" s="23"/>
      <c r="D168" s="22"/>
      <c r="E168" s="22"/>
      <c r="F168" s="58"/>
      <c r="G168" s="58"/>
      <c r="H168" s="58">
        <v>50000</v>
      </c>
      <c r="I168" s="58">
        <v>50000</v>
      </c>
      <c r="J168" s="58">
        <v>50000</v>
      </c>
      <c r="K168" s="58">
        <v>0</v>
      </c>
      <c r="L168" s="58">
        <v>0</v>
      </c>
      <c r="M168" s="58">
        <v>50000</v>
      </c>
    </row>
    <row r="169" spans="1:13" outlineLevel="7">
      <c r="A169" s="8" t="s">
        <v>61</v>
      </c>
      <c r="B169" s="22"/>
      <c r="C169" s="23"/>
      <c r="D169" s="22"/>
      <c r="E169" s="22"/>
      <c r="F169" s="58">
        <v>40000</v>
      </c>
      <c r="G169" s="58"/>
      <c r="H169" s="58">
        <v>40000</v>
      </c>
      <c r="I169" s="58">
        <v>40000</v>
      </c>
      <c r="J169" s="58">
        <v>40000</v>
      </c>
      <c r="K169" s="58">
        <v>0</v>
      </c>
      <c r="L169" s="58">
        <v>0</v>
      </c>
      <c r="M169" s="58">
        <v>40000</v>
      </c>
    </row>
    <row r="170" spans="1:13" outlineLevel="7">
      <c r="A170" s="8" t="s">
        <v>137</v>
      </c>
      <c r="B170" s="22"/>
      <c r="C170" s="23"/>
      <c r="D170" s="22"/>
      <c r="E170" s="22"/>
      <c r="F170" s="58">
        <v>30000</v>
      </c>
      <c r="G170" s="58"/>
      <c r="H170" s="58">
        <v>30000</v>
      </c>
      <c r="I170" s="58">
        <v>30000</v>
      </c>
      <c r="J170" s="58">
        <v>30000</v>
      </c>
      <c r="K170" s="58">
        <v>0</v>
      </c>
      <c r="L170" s="58">
        <v>0</v>
      </c>
      <c r="M170" s="58">
        <v>30000</v>
      </c>
    </row>
    <row r="171" spans="1:13" outlineLevel="7">
      <c r="A171" s="8" t="s">
        <v>138</v>
      </c>
      <c r="B171" s="22"/>
      <c r="C171" s="23"/>
      <c r="D171" s="22"/>
      <c r="E171" s="22"/>
      <c r="F171" s="58">
        <v>15000</v>
      </c>
      <c r="G171" s="58"/>
      <c r="H171" s="58">
        <v>150000</v>
      </c>
      <c r="I171" s="58">
        <v>43428</v>
      </c>
      <c r="J171" s="58">
        <v>43428</v>
      </c>
      <c r="K171" s="58">
        <v>0</v>
      </c>
      <c r="L171" s="58">
        <v>0</v>
      </c>
      <c r="M171" s="58">
        <v>43428</v>
      </c>
    </row>
    <row r="172" spans="1:13" outlineLevel="7">
      <c r="A172" s="8" t="s">
        <v>191</v>
      </c>
      <c r="B172" s="22"/>
      <c r="C172" s="23"/>
      <c r="D172" s="22"/>
      <c r="E172" s="22"/>
      <c r="F172" s="58"/>
      <c r="G172" s="58"/>
      <c r="H172" s="58"/>
      <c r="I172" s="58"/>
      <c r="J172" s="58"/>
      <c r="K172" s="58"/>
      <c r="L172" s="58"/>
      <c r="M172" s="58"/>
    </row>
    <row r="173" spans="1:13" outlineLevel="7">
      <c r="A173" s="8" t="s">
        <v>202</v>
      </c>
      <c r="B173" s="22"/>
      <c r="C173" s="23"/>
      <c r="D173" s="22"/>
      <c r="E173" s="22"/>
      <c r="F173" s="58"/>
      <c r="G173" s="58"/>
      <c r="H173" s="58"/>
      <c r="I173" s="58"/>
      <c r="J173" s="58"/>
      <c r="K173" s="58"/>
      <c r="L173" s="58"/>
      <c r="M173" s="58"/>
    </row>
    <row r="174" spans="1:13" outlineLevel="7">
      <c r="A174" s="8" t="s">
        <v>204</v>
      </c>
      <c r="B174" s="22"/>
      <c r="C174" s="23"/>
      <c r="D174" s="22"/>
      <c r="E174" s="22"/>
      <c r="F174" s="58">
        <v>40000</v>
      </c>
      <c r="G174" s="58"/>
      <c r="H174" s="58">
        <v>0</v>
      </c>
      <c r="I174" s="58">
        <v>40000</v>
      </c>
      <c r="J174" s="58">
        <v>40000</v>
      </c>
      <c r="K174" s="58">
        <v>0</v>
      </c>
      <c r="L174" s="58">
        <v>0</v>
      </c>
      <c r="M174" s="58">
        <v>40000</v>
      </c>
    </row>
    <row r="175" spans="1:13" outlineLevel="7">
      <c r="A175" s="8" t="s">
        <v>203</v>
      </c>
      <c r="B175" s="22"/>
      <c r="C175" s="23"/>
      <c r="D175" s="22"/>
      <c r="E175" s="22"/>
      <c r="F175" s="58">
        <v>60000</v>
      </c>
      <c r="G175" s="58"/>
      <c r="H175" s="58">
        <v>0</v>
      </c>
      <c r="I175" s="58">
        <v>60000</v>
      </c>
      <c r="J175" s="58">
        <v>60000</v>
      </c>
      <c r="K175" s="58">
        <v>0</v>
      </c>
      <c r="L175" s="58">
        <v>0</v>
      </c>
      <c r="M175" s="58">
        <v>60000</v>
      </c>
    </row>
    <row r="176" spans="1:13" outlineLevel="7">
      <c r="A176" s="8" t="s">
        <v>258</v>
      </c>
      <c r="B176" s="22"/>
      <c r="C176" s="23"/>
      <c r="D176" s="22"/>
      <c r="E176" s="22"/>
      <c r="F176" s="58"/>
      <c r="G176" s="58"/>
      <c r="H176" s="58">
        <v>70000</v>
      </c>
      <c r="I176" s="58">
        <v>70000</v>
      </c>
      <c r="J176" s="58">
        <v>70000</v>
      </c>
      <c r="K176" s="58">
        <v>0</v>
      </c>
      <c r="L176" s="58">
        <v>0</v>
      </c>
      <c r="M176" s="58">
        <v>70000</v>
      </c>
    </row>
    <row r="177" spans="1:13" outlineLevel="4">
      <c r="A177" s="8" t="s">
        <v>226</v>
      </c>
      <c r="B177" s="22"/>
      <c r="C177" s="23"/>
      <c r="D177" s="22"/>
      <c r="E177" s="22"/>
      <c r="F177" s="65">
        <v>50000</v>
      </c>
      <c r="G177" s="65">
        <v>28895</v>
      </c>
      <c r="H177" s="65">
        <v>50000</v>
      </c>
      <c r="I177" s="65">
        <v>50000</v>
      </c>
      <c r="J177" s="65">
        <v>50000</v>
      </c>
      <c r="K177" s="65">
        <v>50000</v>
      </c>
      <c r="L177" s="65">
        <v>0</v>
      </c>
      <c r="M177" s="65">
        <v>50000</v>
      </c>
    </row>
    <row r="178" spans="1:13" outlineLevel="4">
      <c r="A178" s="186" t="s">
        <v>221</v>
      </c>
      <c r="B178" s="22"/>
      <c r="C178" s="184"/>
      <c r="D178" s="83"/>
      <c r="E178" s="22"/>
      <c r="F178" s="65"/>
      <c r="G178" s="65">
        <f>732397.8-SUM(G165:G177)</f>
        <v>637502.80000000005</v>
      </c>
      <c r="H178" s="65"/>
      <c r="I178" s="65"/>
      <c r="J178" s="65"/>
      <c r="K178" s="65"/>
      <c r="L178" s="65"/>
      <c r="M178" s="65"/>
    </row>
    <row r="179" spans="1:13" ht="34.5" customHeight="1" outlineLevel="7">
      <c r="A179" s="105" t="s">
        <v>175</v>
      </c>
      <c r="B179" s="17" t="s">
        <v>36</v>
      </c>
      <c r="C179" s="204" t="s">
        <v>178</v>
      </c>
      <c r="D179" s="98" t="s">
        <v>21</v>
      </c>
      <c r="E179" s="17"/>
      <c r="F179" s="53">
        <f>F180+F191+F196</f>
        <v>2315541</v>
      </c>
      <c r="G179" s="53">
        <f t="shared" ref="G179:M179" si="68">G180+G191+G196</f>
        <v>1894570.07</v>
      </c>
      <c r="H179" s="53">
        <f t="shared" si="68"/>
        <v>0</v>
      </c>
      <c r="I179" s="53">
        <f t="shared" si="68"/>
        <v>0</v>
      </c>
      <c r="J179" s="53">
        <f t="shared" si="68"/>
        <v>0</v>
      </c>
      <c r="K179" s="53">
        <f t="shared" si="68"/>
        <v>0</v>
      </c>
      <c r="L179" s="53">
        <f>L180+L191+L196</f>
        <v>2857142.85</v>
      </c>
      <c r="M179" s="53">
        <f t="shared" si="68"/>
        <v>0</v>
      </c>
    </row>
    <row r="180" spans="1:13" outlineLevel="7">
      <c r="A180" s="206" t="s">
        <v>228</v>
      </c>
      <c r="B180" s="38"/>
      <c r="C180" s="93"/>
      <c r="D180" s="34"/>
      <c r="E180" s="31"/>
      <c r="F180" s="163">
        <f t="shared" ref="F180" si="69">SUM(F181:F185)</f>
        <v>2315541</v>
      </c>
      <c r="G180" s="163">
        <f t="shared" ref="G180:M180" si="70">SUM(G181:G185)</f>
        <v>1894570.07</v>
      </c>
      <c r="H180" s="163">
        <f t="shared" si="70"/>
        <v>0</v>
      </c>
      <c r="I180" s="163">
        <f t="shared" si="70"/>
        <v>0</v>
      </c>
      <c r="J180" s="163">
        <f t="shared" si="70"/>
        <v>0</v>
      </c>
      <c r="K180" s="163">
        <f t="shared" si="70"/>
        <v>0</v>
      </c>
      <c r="L180" s="163">
        <f t="shared" si="70"/>
        <v>0</v>
      </c>
      <c r="M180" s="163">
        <f t="shared" si="70"/>
        <v>0</v>
      </c>
    </row>
    <row r="181" spans="1:13" outlineLevel="7">
      <c r="A181" s="10" t="s">
        <v>185</v>
      </c>
      <c r="B181" s="26" t="s">
        <v>36</v>
      </c>
      <c r="C181" s="36" t="s">
        <v>178</v>
      </c>
      <c r="D181" s="74" t="s">
        <v>21</v>
      </c>
      <c r="E181" s="26" t="s">
        <v>151</v>
      </c>
      <c r="F181" s="57">
        <v>1581257</v>
      </c>
      <c r="G181" s="57">
        <v>1087846.07</v>
      </c>
      <c r="H181" s="57"/>
      <c r="I181" s="57"/>
      <c r="J181" s="57"/>
      <c r="K181" s="57"/>
      <c r="L181" s="57"/>
      <c r="M181" s="57"/>
    </row>
    <row r="182" spans="1:13" outlineLevel="7">
      <c r="A182" s="10" t="s">
        <v>181</v>
      </c>
      <c r="B182" s="26" t="s">
        <v>36</v>
      </c>
      <c r="C182" s="36" t="s">
        <v>178</v>
      </c>
      <c r="D182" s="74" t="s">
        <v>21</v>
      </c>
      <c r="E182" s="26" t="s">
        <v>74</v>
      </c>
      <c r="F182" s="57">
        <v>709784</v>
      </c>
      <c r="G182" s="57">
        <f>1537211.02-1087846.07+284919.05-24500</f>
        <v>709784</v>
      </c>
      <c r="H182" s="57"/>
      <c r="I182" s="57"/>
      <c r="J182" s="57"/>
      <c r="K182" s="57"/>
      <c r="L182" s="57"/>
      <c r="M182" s="57"/>
    </row>
    <row r="183" spans="1:13" outlineLevel="7">
      <c r="A183" s="10" t="s">
        <v>251</v>
      </c>
      <c r="B183" s="26" t="s">
        <v>36</v>
      </c>
      <c r="C183" s="36" t="s">
        <v>178</v>
      </c>
      <c r="D183" s="74" t="s">
        <v>21</v>
      </c>
      <c r="E183" s="26" t="s">
        <v>52</v>
      </c>
      <c r="F183" s="57"/>
      <c r="G183" s="57">
        <v>72440</v>
      </c>
      <c r="H183" s="57"/>
      <c r="I183" s="57"/>
      <c r="J183" s="57"/>
      <c r="K183" s="57"/>
      <c r="L183" s="57"/>
      <c r="M183" s="57"/>
    </row>
    <row r="184" spans="1:13" outlineLevel="7">
      <c r="A184" s="10" t="s">
        <v>213</v>
      </c>
      <c r="B184" s="26" t="s">
        <v>36</v>
      </c>
      <c r="C184" s="36" t="s">
        <v>178</v>
      </c>
      <c r="D184" s="74" t="s">
        <v>21</v>
      </c>
      <c r="E184" s="26" t="s">
        <v>45</v>
      </c>
      <c r="F184" s="57"/>
      <c r="G184" s="57"/>
      <c r="H184" s="57"/>
      <c r="I184" s="57"/>
      <c r="J184" s="57"/>
      <c r="K184" s="57"/>
      <c r="L184" s="57"/>
      <c r="M184" s="57"/>
    </row>
    <row r="185" spans="1:13" outlineLevel="7">
      <c r="A185" s="10" t="s">
        <v>205</v>
      </c>
      <c r="B185" s="26" t="s">
        <v>36</v>
      </c>
      <c r="C185" s="36" t="s">
        <v>178</v>
      </c>
      <c r="D185" s="74" t="s">
        <v>21</v>
      </c>
      <c r="E185" s="26" t="s">
        <v>74</v>
      </c>
      <c r="F185" s="57">
        <v>24500</v>
      </c>
      <c r="G185" s="57">
        <v>24500</v>
      </c>
      <c r="H185" s="57"/>
      <c r="I185" s="57"/>
      <c r="J185" s="57"/>
      <c r="K185" s="57"/>
      <c r="L185" s="57"/>
      <c r="M185" s="57"/>
    </row>
    <row r="186" spans="1:13" ht="44.25" customHeight="1" outlineLevel="7">
      <c r="A186" s="279" t="s">
        <v>244</v>
      </c>
      <c r="B186" s="38"/>
      <c r="C186" s="93"/>
      <c r="D186" s="34"/>
      <c r="E186" s="31"/>
      <c r="F186" s="63">
        <f t="shared" ref="F186" si="71">SUM(F187:F190)</f>
        <v>0</v>
      </c>
      <c r="G186" s="63"/>
      <c r="H186" s="63">
        <f>SUM(H187:H190)</f>
        <v>3012446</v>
      </c>
      <c r="I186" s="63">
        <f t="shared" ref="I186:J186" si="72">SUM(I187:I190)</f>
        <v>0</v>
      </c>
      <c r="J186" s="63">
        <f t="shared" si="72"/>
        <v>0</v>
      </c>
      <c r="K186" s="63">
        <f>SUM(K187:K190)</f>
        <v>0</v>
      </c>
      <c r="L186" s="63">
        <f t="shared" ref="L186:M186" si="73">SUM(L187:L190)</f>
        <v>0</v>
      </c>
      <c r="M186" s="63">
        <f t="shared" si="73"/>
        <v>0</v>
      </c>
    </row>
    <row r="187" spans="1:13" outlineLevel="7">
      <c r="A187" s="10" t="s">
        <v>185</v>
      </c>
      <c r="B187" s="26" t="s">
        <v>31</v>
      </c>
      <c r="C187" s="36" t="s">
        <v>243</v>
      </c>
      <c r="D187" s="74" t="s">
        <v>21</v>
      </c>
      <c r="E187" s="26" t="s">
        <v>151</v>
      </c>
      <c r="F187" s="57"/>
      <c r="G187" s="57"/>
      <c r="H187" s="57">
        <v>2073703</v>
      </c>
      <c r="I187" s="57"/>
      <c r="J187" s="57"/>
      <c r="K187" s="57"/>
      <c r="L187" s="57"/>
      <c r="M187" s="57"/>
    </row>
    <row r="188" spans="1:13" outlineLevel="7">
      <c r="A188" s="10" t="s">
        <v>263</v>
      </c>
      <c r="B188" s="26" t="s">
        <v>31</v>
      </c>
      <c r="C188" s="36" t="s">
        <v>243</v>
      </c>
      <c r="D188" s="74" t="s">
        <v>21</v>
      </c>
      <c r="E188" s="26" t="s">
        <v>52</v>
      </c>
      <c r="F188" s="57"/>
      <c r="G188" s="57"/>
      <c r="H188" s="57">
        <v>50000</v>
      </c>
      <c r="I188" s="57"/>
      <c r="J188" s="57"/>
      <c r="K188" s="57"/>
      <c r="L188" s="57"/>
      <c r="M188" s="57"/>
    </row>
    <row r="189" spans="1:13" outlineLevel="7">
      <c r="A189" s="10" t="s">
        <v>213</v>
      </c>
      <c r="B189" s="26" t="s">
        <v>31</v>
      </c>
      <c r="C189" s="36" t="s">
        <v>243</v>
      </c>
      <c r="D189" s="74" t="s">
        <v>21</v>
      </c>
      <c r="E189" s="26" t="s">
        <v>45</v>
      </c>
      <c r="F189" s="57"/>
      <c r="G189" s="57"/>
      <c r="H189" s="57">
        <v>859118</v>
      </c>
      <c r="I189" s="57"/>
      <c r="J189" s="57"/>
      <c r="K189" s="57"/>
      <c r="L189" s="57"/>
      <c r="M189" s="57"/>
    </row>
    <row r="190" spans="1:13" outlineLevel="7">
      <c r="A190" s="10" t="s">
        <v>205</v>
      </c>
      <c r="B190" s="26" t="s">
        <v>31</v>
      </c>
      <c r="C190" s="36" t="s">
        <v>243</v>
      </c>
      <c r="D190" s="74" t="s">
        <v>21</v>
      </c>
      <c r="E190" s="26" t="s">
        <v>74</v>
      </c>
      <c r="F190" s="57"/>
      <c r="G190" s="57"/>
      <c r="H190" s="57">
        <v>29625</v>
      </c>
      <c r="I190" s="57"/>
      <c r="J190" s="57"/>
      <c r="K190" s="57"/>
      <c r="L190" s="57"/>
      <c r="M190" s="57"/>
    </row>
    <row r="191" spans="1:13" outlineLevel="7">
      <c r="A191" s="280"/>
      <c r="B191" s="38"/>
      <c r="C191" s="93"/>
      <c r="D191" s="34"/>
      <c r="E191" s="31"/>
      <c r="F191" s="63">
        <f t="shared" ref="F191" si="74">SUM(F192:F195)</f>
        <v>0</v>
      </c>
      <c r="G191" s="63"/>
      <c r="H191" s="63">
        <f t="shared" ref="H191:I191" si="75">SUM(H192:H195)</f>
        <v>0</v>
      </c>
      <c r="I191" s="63">
        <f t="shared" si="75"/>
        <v>0</v>
      </c>
      <c r="J191" s="63">
        <f>SUM(J192:J195)</f>
        <v>0</v>
      </c>
      <c r="K191" s="63">
        <f t="shared" ref="K191:L191" si="76">SUM(K192:K195)</f>
        <v>0</v>
      </c>
      <c r="L191" s="277">
        <f t="shared" si="76"/>
        <v>2857142.85</v>
      </c>
      <c r="M191" s="63">
        <f>SUM(M192:M195)</f>
        <v>0</v>
      </c>
    </row>
    <row r="192" spans="1:13" outlineLevel="7">
      <c r="A192" s="10" t="s">
        <v>185</v>
      </c>
      <c r="B192" s="26" t="s">
        <v>36</v>
      </c>
      <c r="C192" s="36" t="s">
        <v>178</v>
      </c>
      <c r="D192" s="74" t="s">
        <v>21</v>
      </c>
      <c r="E192" s="26" t="s">
        <v>151</v>
      </c>
      <c r="F192" s="57"/>
      <c r="G192" s="57"/>
      <c r="H192" s="57"/>
      <c r="I192" s="57"/>
      <c r="J192" s="57"/>
      <c r="K192" s="57"/>
      <c r="L192" s="278">
        <v>1999999.85</v>
      </c>
      <c r="M192" s="57"/>
    </row>
    <row r="193" spans="1:13" outlineLevel="7">
      <c r="A193" s="10" t="s">
        <v>181</v>
      </c>
      <c r="B193" s="26" t="s">
        <v>36</v>
      </c>
      <c r="C193" s="36" t="s">
        <v>178</v>
      </c>
      <c r="D193" s="74" t="s">
        <v>21</v>
      </c>
      <c r="E193" s="26" t="s">
        <v>74</v>
      </c>
      <c r="F193" s="57"/>
      <c r="G193" s="57"/>
      <c r="H193" s="57"/>
      <c r="I193" s="57"/>
      <c r="J193" s="57"/>
      <c r="K193" s="57"/>
      <c r="L193" s="278">
        <v>857143</v>
      </c>
      <c r="M193" s="57"/>
    </row>
    <row r="194" spans="1:13" outlineLevel="7">
      <c r="A194" s="10" t="s">
        <v>213</v>
      </c>
      <c r="B194" s="26" t="s">
        <v>36</v>
      </c>
      <c r="C194" s="36" t="s">
        <v>178</v>
      </c>
      <c r="D194" s="74" t="s">
        <v>21</v>
      </c>
      <c r="E194" s="26" t="s">
        <v>45</v>
      </c>
      <c r="F194" s="57"/>
      <c r="G194" s="57"/>
      <c r="H194" s="57"/>
      <c r="I194" s="57"/>
      <c r="J194" s="57"/>
      <c r="K194" s="57"/>
      <c r="L194" s="57">
        <v>0</v>
      </c>
      <c r="M194" s="57"/>
    </row>
    <row r="195" spans="1:13" outlineLevel="7">
      <c r="A195" s="10" t="s">
        <v>205</v>
      </c>
      <c r="B195" s="26" t="s">
        <v>36</v>
      </c>
      <c r="C195" s="36" t="s">
        <v>178</v>
      </c>
      <c r="D195" s="74" t="s">
        <v>21</v>
      </c>
      <c r="E195" s="26" t="s">
        <v>74</v>
      </c>
      <c r="F195" s="57"/>
      <c r="G195" s="57"/>
      <c r="H195" s="57"/>
      <c r="I195" s="57"/>
      <c r="J195" s="57"/>
      <c r="K195" s="57"/>
      <c r="L195" s="57"/>
      <c r="M195" s="57"/>
    </row>
    <row r="196" spans="1:13" outlineLevel="7">
      <c r="A196" s="167"/>
      <c r="B196" s="38"/>
      <c r="C196" s="93"/>
      <c r="D196" s="34"/>
      <c r="E196" s="31"/>
      <c r="F196" s="159">
        <f>SUM(F197:F200)</f>
        <v>0</v>
      </c>
      <c r="G196" s="159"/>
      <c r="H196" s="159">
        <f>SUM(H197:H200)</f>
        <v>0</v>
      </c>
      <c r="I196" s="159">
        <f t="shared" ref="I196:J196" si="77">SUM(I197:I200)</f>
        <v>0</v>
      </c>
      <c r="J196" s="159">
        <f t="shared" si="77"/>
        <v>0</v>
      </c>
      <c r="K196" s="159">
        <f>SUM(K197:K200)</f>
        <v>0</v>
      </c>
      <c r="L196" s="159">
        <f t="shared" ref="L196:M196" si="78">SUM(L197:L200)</f>
        <v>0</v>
      </c>
      <c r="M196" s="159">
        <f t="shared" si="78"/>
        <v>0</v>
      </c>
    </row>
    <row r="197" spans="1:13" outlineLevel="7">
      <c r="A197" s="10" t="s">
        <v>185</v>
      </c>
      <c r="B197" s="160" t="s">
        <v>36</v>
      </c>
      <c r="C197" s="161" t="s">
        <v>178</v>
      </c>
      <c r="D197" s="162" t="s">
        <v>21</v>
      </c>
      <c r="E197" s="26" t="s">
        <v>151</v>
      </c>
      <c r="F197" s="58"/>
      <c r="G197" s="58"/>
      <c r="H197" s="58"/>
      <c r="I197" s="58"/>
      <c r="J197" s="58"/>
      <c r="K197" s="58"/>
      <c r="L197" s="58"/>
      <c r="M197" s="58"/>
    </row>
    <row r="198" spans="1:13" outlineLevel="7">
      <c r="A198" s="10" t="s">
        <v>181</v>
      </c>
      <c r="B198" s="160" t="s">
        <v>36</v>
      </c>
      <c r="C198" s="161" t="s">
        <v>178</v>
      </c>
      <c r="D198" s="162" t="s">
        <v>21</v>
      </c>
      <c r="E198" s="26" t="s">
        <v>74</v>
      </c>
      <c r="F198" s="58"/>
      <c r="G198" s="58"/>
      <c r="H198" s="58"/>
      <c r="I198" s="58"/>
      <c r="J198" s="58"/>
      <c r="K198" s="58"/>
      <c r="L198" s="58"/>
      <c r="M198" s="58"/>
    </row>
    <row r="199" spans="1:13" outlineLevel="7">
      <c r="A199" s="10" t="s">
        <v>213</v>
      </c>
      <c r="B199" s="26" t="s">
        <v>36</v>
      </c>
      <c r="C199" s="36" t="s">
        <v>178</v>
      </c>
      <c r="D199" s="74" t="s">
        <v>21</v>
      </c>
      <c r="E199" s="26" t="s">
        <v>45</v>
      </c>
      <c r="F199" s="58"/>
      <c r="G199" s="58"/>
      <c r="H199" s="58"/>
      <c r="I199" s="58"/>
      <c r="J199" s="58"/>
      <c r="K199" s="58"/>
      <c r="L199" s="58"/>
      <c r="M199" s="58"/>
    </row>
    <row r="200" spans="1:13" outlineLevel="7">
      <c r="A200" s="10" t="s">
        <v>182</v>
      </c>
      <c r="B200" s="160" t="s">
        <v>36</v>
      </c>
      <c r="C200" s="161" t="s">
        <v>178</v>
      </c>
      <c r="D200" s="162" t="s">
        <v>21</v>
      </c>
      <c r="E200" s="26" t="s">
        <v>74</v>
      </c>
      <c r="F200" s="58"/>
      <c r="G200" s="58"/>
      <c r="H200" s="58"/>
      <c r="I200" s="58"/>
      <c r="J200" s="58"/>
      <c r="K200" s="58"/>
      <c r="L200" s="58"/>
      <c r="M200" s="58"/>
    </row>
    <row r="201" spans="1:13" ht="31.5" outlineLevel="7">
      <c r="A201" s="105" t="s">
        <v>150</v>
      </c>
      <c r="B201" s="17"/>
      <c r="C201" s="35"/>
      <c r="D201" s="98"/>
      <c r="E201" s="33"/>
      <c r="F201" s="53">
        <f t="shared" ref="F201:M201" si="79">F202+F208</f>
        <v>90000</v>
      </c>
      <c r="G201" s="53">
        <f t="shared" si="79"/>
        <v>810885.24</v>
      </c>
      <c r="H201" s="53">
        <f t="shared" si="79"/>
        <v>1468554</v>
      </c>
      <c r="I201" s="53">
        <f t="shared" si="79"/>
        <v>0</v>
      </c>
      <c r="J201" s="53">
        <f t="shared" si="79"/>
        <v>0</v>
      </c>
      <c r="K201" s="53">
        <f t="shared" si="79"/>
        <v>468554</v>
      </c>
      <c r="L201" s="53">
        <f t="shared" si="79"/>
        <v>0</v>
      </c>
      <c r="M201" s="53">
        <f t="shared" si="79"/>
        <v>0</v>
      </c>
    </row>
    <row r="202" spans="1:13" outlineLevel="7">
      <c r="A202" s="210" t="s">
        <v>260</v>
      </c>
      <c r="B202" s="211"/>
      <c r="C202" s="212"/>
      <c r="D202" s="213"/>
      <c r="E202" s="214"/>
      <c r="F202" s="209">
        <f t="shared" ref="F202:M202" si="80">SUM(F203:F207)</f>
        <v>0</v>
      </c>
      <c r="G202" s="209">
        <f t="shared" si="80"/>
        <v>0</v>
      </c>
      <c r="H202" s="209">
        <f t="shared" si="80"/>
        <v>1468554</v>
      </c>
      <c r="I202" s="209">
        <f t="shared" si="80"/>
        <v>0</v>
      </c>
      <c r="J202" s="209">
        <f t="shared" si="80"/>
        <v>0</v>
      </c>
      <c r="K202" s="209">
        <f t="shared" si="80"/>
        <v>468554</v>
      </c>
      <c r="L202" s="209">
        <f t="shared" si="80"/>
        <v>0</v>
      </c>
      <c r="M202" s="209">
        <f t="shared" si="80"/>
        <v>0</v>
      </c>
    </row>
    <row r="203" spans="1:13" ht="25.5" outlineLevel="7">
      <c r="A203" s="8" t="s">
        <v>250</v>
      </c>
      <c r="B203" s="118" t="s">
        <v>36</v>
      </c>
      <c r="C203" s="183" t="s">
        <v>261</v>
      </c>
      <c r="D203" s="117" t="s">
        <v>21</v>
      </c>
      <c r="E203" s="24" t="s">
        <v>151</v>
      </c>
      <c r="F203" s="58"/>
      <c r="G203" s="58"/>
      <c r="H203" s="58">
        <v>1000000</v>
      </c>
      <c r="I203" s="58"/>
      <c r="J203" s="58"/>
      <c r="K203" s="58"/>
      <c r="L203" s="58"/>
      <c r="M203" s="58"/>
    </row>
    <row r="204" spans="1:13" outlineLevel="7">
      <c r="A204" s="9" t="s">
        <v>249</v>
      </c>
      <c r="B204" s="118" t="s">
        <v>36</v>
      </c>
      <c r="C204" s="183" t="s">
        <v>261</v>
      </c>
      <c r="D204" s="117" t="s">
        <v>21</v>
      </c>
      <c r="E204" s="24" t="s">
        <v>52</v>
      </c>
      <c r="F204" s="58"/>
      <c r="G204" s="58"/>
      <c r="H204" s="58">
        <v>50000</v>
      </c>
      <c r="I204" s="58"/>
      <c r="J204" s="58"/>
      <c r="K204" s="58">
        <v>50000</v>
      </c>
      <c r="L204" s="58"/>
      <c r="M204" s="58"/>
    </row>
    <row r="205" spans="1:13" outlineLevel="7">
      <c r="A205" s="9" t="s">
        <v>161</v>
      </c>
      <c r="B205" s="118" t="s">
        <v>36</v>
      </c>
      <c r="C205" s="183" t="s">
        <v>261</v>
      </c>
      <c r="D205" s="117" t="s">
        <v>21</v>
      </c>
      <c r="E205" s="24" t="s">
        <v>74</v>
      </c>
      <c r="F205" s="58"/>
      <c r="G205" s="58"/>
      <c r="H205" s="58">
        <v>361554</v>
      </c>
      <c r="I205" s="58"/>
      <c r="J205" s="58"/>
      <c r="K205" s="58">
        <v>361554</v>
      </c>
      <c r="L205" s="58"/>
      <c r="M205" s="58"/>
    </row>
    <row r="206" spans="1:13" outlineLevel="7">
      <c r="A206" s="9" t="s">
        <v>149</v>
      </c>
      <c r="B206" s="118" t="s">
        <v>36</v>
      </c>
      <c r="C206" s="183" t="s">
        <v>261</v>
      </c>
      <c r="D206" s="117" t="s">
        <v>21</v>
      </c>
      <c r="E206" s="24" t="s">
        <v>45</v>
      </c>
      <c r="F206" s="58"/>
      <c r="G206" s="58"/>
      <c r="H206" s="58"/>
      <c r="I206" s="58"/>
      <c r="J206" s="58"/>
      <c r="K206" s="58"/>
      <c r="L206" s="58"/>
      <c r="M206" s="58"/>
    </row>
    <row r="207" spans="1:13" outlineLevel="7">
      <c r="A207" s="9" t="s">
        <v>229</v>
      </c>
      <c r="B207" s="118" t="s">
        <v>36</v>
      </c>
      <c r="C207" s="183" t="s">
        <v>261</v>
      </c>
      <c r="D207" s="117" t="s">
        <v>21</v>
      </c>
      <c r="E207" s="24" t="s">
        <v>74</v>
      </c>
      <c r="F207" s="58"/>
      <c r="G207" s="58"/>
      <c r="H207" s="58">
        <v>57000</v>
      </c>
      <c r="I207" s="58"/>
      <c r="J207" s="58"/>
      <c r="K207" s="58">
        <v>57000</v>
      </c>
      <c r="L207" s="58"/>
      <c r="M207" s="58"/>
    </row>
    <row r="208" spans="1:13" ht="38.25" outlineLevel="7">
      <c r="A208" s="215" t="s">
        <v>235</v>
      </c>
      <c r="B208" s="211"/>
      <c r="C208" s="212"/>
      <c r="D208" s="213"/>
      <c r="E208" s="214"/>
      <c r="F208" s="216">
        <f t="shared" ref="F208:M208" si="81">SUM(F209:F214)</f>
        <v>90000</v>
      </c>
      <c r="G208" s="216">
        <f t="shared" si="81"/>
        <v>810885.24</v>
      </c>
      <c r="H208" s="216">
        <f t="shared" si="81"/>
        <v>0</v>
      </c>
      <c r="I208" s="216">
        <f t="shared" si="81"/>
        <v>0</v>
      </c>
      <c r="J208" s="216">
        <f t="shared" si="81"/>
        <v>0</v>
      </c>
      <c r="K208" s="216">
        <f t="shared" si="81"/>
        <v>0</v>
      </c>
      <c r="L208" s="216">
        <f t="shared" si="81"/>
        <v>0</v>
      </c>
      <c r="M208" s="216">
        <f t="shared" si="81"/>
        <v>0</v>
      </c>
    </row>
    <row r="209" spans="1:13" ht="30" customHeight="1" outlineLevel="7">
      <c r="A209" s="8" t="s">
        <v>250</v>
      </c>
      <c r="B209" s="33" t="s">
        <v>36</v>
      </c>
      <c r="C209" s="208" t="s">
        <v>242</v>
      </c>
      <c r="D209" s="102" t="s">
        <v>21</v>
      </c>
      <c r="E209" s="22" t="s">
        <v>151</v>
      </c>
      <c r="F209" s="58"/>
      <c r="G209" s="58">
        <v>670564.24</v>
      </c>
      <c r="H209" s="58"/>
      <c r="I209" s="58"/>
      <c r="J209" s="58"/>
      <c r="K209" s="58"/>
      <c r="L209" s="58"/>
      <c r="M209" s="58"/>
    </row>
    <row r="210" spans="1:13" outlineLevel="7">
      <c r="A210" s="8" t="s">
        <v>161</v>
      </c>
      <c r="B210" s="33" t="s">
        <v>36</v>
      </c>
      <c r="C210" s="208" t="s">
        <v>242</v>
      </c>
      <c r="D210" s="102" t="s">
        <v>21</v>
      </c>
      <c r="E210" s="22" t="s">
        <v>74</v>
      </c>
      <c r="F210" s="58">
        <v>50000</v>
      </c>
      <c r="G210" s="58">
        <v>36845</v>
      </c>
      <c r="H210" s="58"/>
      <c r="I210" s="58"/>
      <c r="J210" s="58"/>
      <c r="K210" s="58"/>
      <c r="L210" s="58"/>
      <c r="M210" s="58"/>
    </row>
    <row r="211" spans="1:13" outlineLevel="7">
      <c r="A211" s="8" t="s">
        <v>149</v>
      </c>
      <c r="B211" s="33" t="s">
        <v>36</v>
      </c>
      <c r="C211" s="208" t="s">
        <v>242</v>
      </c>
      <c r="D211" s="102" t="s">
        <v>21</v>
      </c>
      <c r="E211" s="22" t="s">
        <v>45</v>
      </c>
      <c r="F211" s="58"/>
      <c r="G211" s="58"/>
      <c r="H211" s="58"/>
      <c r="I211" s="58"/>
      <c r="J211" s="58"/>
      <c r="K211" s="58"/>
      <c r="L211" s="58"/>
      <c r="M211" s="58"/>
    </row>
    <row r="212" spans="1:13" outlineLevel="7">
      <c r="A212" s="8" t="s">
        <v>186</v>
      </c>
      <c r="B212" s="33" t="s">
        <v>36</v>
      </c>
      <c r="C212" s="208" t="s">
        <v>242</v>
      </c>
      <c r="D212" s="102" t="s">
        <v>21</v>
      </c>
      <c r="E212" s="22" t="s">
        <v>74</v>
      </c>
      <c r="F212" s="58"/>
      <c r="G212" s="58"/>
      <c r="H212" s="58"/>
      <c r="I212" s="58"/>
      <c r="J212" s="58"/>
      <c r="K212" s="58"/>
      <c r="L212" s="58"/>
      <c r="M212" s="58"/>
    </row>
    <row r="213" spans="1:13" outlineLevel="7">
      <c r="A213" s="8" t="s">
        <v>249</v>
      </c>
      <c r="B213" s="33" t="s">
        <v>36</v>
      </c>
      <c r="C213" s="208" t="s">
        <v>242</v>
      </c>
      <c r="D213" s="102" t="s">
        <v>21</v>
      </c>
      <c r="E213" s="22" t="s">
        <v>52</v>
      </c>
      <c r="F213" s="58"/>
      <c r="G213" s="58">
        <v>74000</v>
      </c>
      <c r="H213" s="58"/>
      <c r="I213" s="58"/>
      <c r="J213" s="58"/>
      <c r="K213" s="58"/>
      <c r="L213" s="58"/>
      <c r="M213" s="58"/>
    </row>
    <row r="214" spans="1:13" outlineLevel="7">
      <c r="A214" s="8" t="s">
        <v>229</v>
      </c>
      <c r="B214" s="33" t="s">
        <v>36</v>
      </c>
      <c r="C214" s="208" t="s">
        <v>242</v>
      </c>
      <c r="D214" s="102" t="s">
        <v>21</v>
      </c>
      <c r="E214" s="22" t="s">
        <v>74</v>
      </c>
      <c r="F214" s="58">
        <v>40000</v>
      </c>
      <c r="G214" s="58">
        <v>29476</v>
      </c>
      <c r="H214" s="58"/>
      <c r="I214" s="58"/>
      <c r="J214" s="58"/>
      <c r="K214" s="58"/>
      <c r="L214" s="58"/>
      <c r="M214" s="58"/>
    </row>
    <row r="215" spans="1:13" outlineLevel="7">
      <c r="A215" s="128" t="s">
        <v>148</v>
      </c>
      <c r="B215" s="129"/>
      <c r="C215" s="130"/>
      <c r="D215" s="129"/>
      <c r="E215" s="129"/>
      <c r="F215" s="89">
        <f t="shared" ref="F215:M216" si="82">F216</f>
        <v>36100</v>
      </c>
      <c r="G215" s="89">
        <f t="shared" si="82"/>
        <v>36100</v>
      </c>
      <c r="H215" s="89">
        <f t="shared" si="82"/>
        <v>44848</v>
      </c>
      <c r="I215" s="89">
        <f t="shared" si="82"/>
        <v>49434</v>
      </c>
      <c r="J215" s="89">
        <f t="shared" si="82"/>
        <v>54097</v>
      </c>
      <c r="K215" s="89">
        <f t="shared" si="82"/>
        <v>44848</v>
      </c>
      <c r="L215" s="89">
        <f t="shared" si="82"/>
        <v>49434</v>
      </c>
      <c r="M215" s="89">
        <f t="shared" si="82"/>
        <v>54097</v>
      </c>
    </row>
    <row r="216" spans="1:13">
      <c r="A216" s="125" t="s">
        <v>46</v>
      </c>
      <c r="B216" s="126"/>
      <c r="C216" s="127"/>
      <c r="D216" s="126"/>
      <c r="E216" s="126"/>
      <c r="F216" s="66">
        <f t="shared" si="82"/>
        <v>36100</v>
      </c>
      <c r="G216" s="66">
        <f t="shared" si="82"/>
        <v>36100</v>
      </c>
      <c r="H216" s="66">
        <f t="shared" si="82"/>
        <v>44848</v>
      </c>
      <c r="I216" s="66">
        <f t="shared" si="82"/>
        <v>49434</v>
      </c>
      <c r="J216" s="66">
        <f t="shared" si="82"/>
        <v>54097</v>
      </c>
      <c r="K216" s="66">
        <f t="shared" si="82"/>
        <v>44848</v>
      </c>
      <c r="L216" s="66">
        <f t="shared" si="82"/>
        <v>49434</v>
      </c>
      <c r="M216" s="66">
        <f t="shared" si="82"/>
        <v>54097</v>
      </c>
    </row>
    <row r="217" spans="1:13" ht="25.5">
      <c r="A217" s="7" t="s">
        <v>47</v>
      </c>
      <c r="B217" s="17" t="s">
        <v>48</v>
      </c>
      <c r="C217" s="18"/>
      <c r="D217" s="17"/>
      <c r="E217" s="17"/>
      <c r="F217" s="53">
        <f t="shared" ref="F217:M217" si="83">F218+F219</f>
        <v>36100</v>
      </c>
      <c r="G217" s="53">
        <f t="shared" si="83"/>
        <v>36100</v>
      </c>
      <c r="H217" s="53">
        <f t="shared" si="83"/>
        <v>44848</v>
      </c>
      <c r="I217" s="53">
        <f t="shared" si="83"/>
        <v>49434</v>
      </c>
      <c r="J217" s="53">
        <f t="shared" si="83"/>
        <v>54097</v>
      </c>
      <c r="K217" s="53">
        <f t="shared" si="83"/>
        <v>44848</v>
      </c>
      <c r="L217" s="53">
        <f t="shared" si="83"/>
        <v>49434</v>
      </c>
      <c r="M217" s="53">
        <f t="shared" si="83"/>
        <v>54097</v>
      </c>
    </row>
    <row r="218" spans="1:13">
      <c r="A218" s="4" t="s">
        <v>49</v>
      </c>
      <c r="B218" s="19" t="s">
        <v>48</v>
      </c>
      <c r="C218" s="37" t="s">
        <v>59</v>
      </c>
      <c r="D218" s="19" t="s">
        <v>18</v>
      </c>
      <c r="E218" s="19" t="s">
        <v>50</v>
      </c>
      <c r="F218" s="55">
        <v>27727</v>
      </c>
      <c r="G218" s="55">
        <v>27727</v>
      </c>
      <c r="H218" s="55">
        <v>34446</v>
      </c>
      <c r="I218" s="55">
        <v>37968</v>
      </c>
      <c r="J218" s="55">
        <v>41549</v>
      </c>
      <c r="K218" s="55">
        <v>34446</v>
      </c>
      <c r="L218" s="55">
        <v>37968</v>
      </c>
      <c r="M218" s="55">
        <v>41549</v>
      </c>
    </row>
    <row r="219" spans="1:13">
      <c r="A219" s="4" t="s">
        <v>51</v>
      </c>
      <c r="B219" s="19" t="s">
        <v>48</v>
      </c>
      <c r="C219" s="37" t="s">
        <v>59</v>
      </c>
      <c r="D219" s="19" t="s">
        <v>53</v>
      </c>
      <c r="E219" s="19" t="s">
        <v>50</v>
      </c>
      <c r="F219" s="55">
        <v>8373</v>
      </c>
      <c r="G219" s="55">
        <v>8373</v>
      </c>
      <c r="H219" s="55">
        <v>10402</v>
      </c>
      <c r="I219" s="55">
        <v>11466</v>
      </c>
      <c r="J219" s="55">
        <v>12548</v>
      </c>
      <c r="K219" s="55">
        <v>10402</v>
      </c>
      <c r="L219" s="55">
        <v>11466</v>
      </c>
      <c r="M219" s="55">
        <v>12548</v>
      </c>
    </row>
    <row r="220" spans="1:13">
      <c r="F220" s="6"/>
      <c r="G220" s="6"/>
      <c r="H220" s="6"/>
      <c r="I220" s="6"/>
      <c r="J220" s="6"/>
      <c r="K220" s="6"/>
      <c r="L220" s="6"/>
      <c r="M220" s="6"/>
    </row>
    <row r="221" spans="1:13">
      <c r="F221" s="6"/>
      <c r="G221" s="6"/>
      <c r="H221" s="6"/>
      <c r="I221" s="6"/>
      <c r="J221" s="6"/>
      <c r="K221" s="6"/>
      <c r="L221" s="6"/>
      <c r="M221" s="6"/>
    </row>
    <row r="222" spans="1:13">
      <c r="A222" s="13" t="s">
        <v>155</v>
      </c>
      <c r="F222" s="6"/>
      <c r="G222" s="6"/>
      <c r="H222" s="6"/>
      <c r="I222" s="6"/>
      <c r="J222" s="6"/>
      <c r="K222" s="6"/>
      <c r="L222" s="6"/>
      <c r="M222" s="6"/>
    </row>
    <row r="223" spans="1:13">
      <c r="F223" s="6"/>
      <c r="G223" s="6"/>
      <c r="H223" s="6"/>
      <c r="I223" s="6"/>
      <c r="J223" s="6"/>
      <c r="K223" s="6"/>
      <c r="L223" s="6"/>
      <c r="M223" s="6"/>
    </row>
    <row r="224" spans="1:13">
      <c r="F224" s="6"/>
      <c r="G224" s="6"/>
      <c r="H224" s="6"/>
      <c r="I224" s="6"/>
      <c r="J224" s="6"/>
      <c r="K224" s="6"/>
      <c r="L224" s="6"/>
      <c r="M224" s="6"/>
    </row>
    <row r="225" spans="1:13">
      <c r="A225" s="13" t="s">
        <v>82</v>
      </c>
      <c r="F225" s="6"/>
      <c r="G225" s="6"/>
      <c r="H225" s="6"/>
      <c r="I225" s="6"/>
      <c r="J225" s="6"/>
      <c r="K225" s="6"/>
      <c r="L225" s="6"/>
      <c r="M225" s="6"/>
    </row>
    <row r="226" spans="1:13">
      <c r="F226" s="6"/>
      <c r="G226" s="6"/>
      <c r="H226" s="6"/>
      <c r="I226" s="6"/>
      <c r="J226" s="6"/>
      <c r="K226" s="6"/>
      <c r="L226" s="6"/>
      <c r="M226" s="6"/>
    </row>
    <row r="227" spans="1:13">
      <c r="F227" s="6"/>
      <c r="G227" s="6"/>
      <c r="H227" s="6"/>
      <c r="I227" s="6"/>
      <c r="J227" s="6"/>
      <c r="K227" s="6"/>
      <c r="L227" s="6"/>
      <c r="M227" s="6"/>
    </row>
    <row r="228" spans="1:13">
      <c r="F228" s="6"/>
      <c r="G228" s="6"/>
      <c r="H228" s="6"/>
      <c r="I228" s="6"/>
      <c r="J228" s="6"/>
      <c r="K228" s="6"/>
      <c r="L228" s="6"/>
      <c r="M228" s="6"/>
    </row>
    <row r="229" spans="1:13">
      <c r="F229" s="6"/>
      <c r="G229" s="6"/>
      <c r="H229" s="6"/>
      <c r="I229" s="6"/>
      <c r="J229" s="6"/>
      <c r="K229" s="6"/>
      <c r="L229" s="6"/>
      <c r="M229" s="6"/>
    </row>
    <row r="230" spans="1:13">
      <c r="F230" s="6"/>
      <c r="G230" s="6"/>
      <c r="H230" s="6"/>
      <c r="I230" s="6"/>
      <c r="J230" s="6"/>
      <c r="K230" s="6"/>
      <c r="L230" s="6"/>
      <c r="M230" s="6"/>
    </row>
    <row r="231" spans="1:13">
      <c r="F231" s="6"/>
      <c r="G231" s="6"/>
      <c r="H231" s="6"/>
      <c r="I231" s="6"/>
      <c r="J231" s="6"/>
      <c r="K231" s="6"/>
      <c r="L231" s="6"/>
      <c r="M231" s="6"/>
    </row>
    <row r="232" spans="1:13">
      <c r="F232" s="6"/>
      <c r="G232" s="6"/>
      <c r="H232" s="6"/>
      <c r="I232" s="6"/>
      <c r="J232" s="6"/>
      <c r="K232" s="6"/>
      <c r="L232" s="6"/>
      <c r="M232" s="6"/>
    </row>
    <row r="233" spans="1:13">
      <c r="F233" s="6"/>
      <c r="G233" s="6"/>
      <c r="H233" s="6"/>
      <c r="I233" s="6"/>
      <c r="J233" s="6"/>
      <c r="K233" s="6"/>
      <c r="L233" s="6"/>
      <c r="M233" s="6"/>
    </row>
    <row r="234" spans="1:13">
      <c r="F234" s="6"/>
      <c r="G234" s="6"/>
      <c r="H234" s="6"/>
      <c r="I234" s="6"/>
      <c r="J234" s="6"/>
      <c r="K234" s="6"/>
      <c r="L234" s="6"/>
      <c r="M234" s="6"/>
    </row>
    <row r="235" spans="1:13">
      <c r="F235" s="6"/>
      <c r="G235" s="6"/>
      <c r="H235" s="6"/>
      <c r="I235" s="6"/>
      <c r="J235" s="6"/>
      <c r="K235" s="6"/>
      <c r="L235" s="6"/>
      <c r="M235" s="6"/>
    </row>
    <row r="236" spans="1:13">
      <c r="F236" s="6"/>
      <c r="G236" s="6"/>
      <c r="H236" s="6"/>
      <c r="I236" s="6"/>
      <c r="J236" s="6"/>
      <c r="K236" s="6"/>
      <c r="L236" s="6"/>
      <c r="M236" s="6"/>
    </row>
    <row r="237" spans="1:13">
      <c r="F237" s="6"/>
      <c r="G237" s="6"/>
      <c r="H237" s="6"/>
      <c r="I237" s="6"/>
      <c r="J237" s="6"/>
      <c r="K237" s="6"/>
      <c r="L237" s="6"/>
      <c r="M237" s="6"/>
    </row>
    <row r="238" spans="1:13">
      <c r="F238" s="6"/>
      <c r="G238" s="6"/>
      <c r="H238" s="6"/>
      <c r="I238" s="6"/>
      <c r="J238" s="6"/>
      <c r="K238" s="6"/>
      <c r="L238" s="6"/>
      <c r="M238" s="6"/>
    </row>
    <row r="239" spans="1:13">
      <c r="F239" s="6"/>
      <c r="G239" s="6"/>
      <c r="H239" s="6"/>
      <c r="I239" s="6"/>
      <c r="J239" s="6"/>
      <c r="K239" s="6"/>
      <c r="L239" s="6"/>
      <c r="M239" s="6"/>
    </row>
    <row r="240" spans="1:13">
      <c r="F240" s="6"/>
      <c r="G240" s="6"/>
      <c r="H240" s="6"/>
      <c r="I240" s="6"/>
      <c r="J240" s="6"/>
      <c r="K240" s="6"/>
      <c r="L240" s="6"/>
      <c r="M240" s="6"/>
    </row>
    <row r="241" spans="6:13">
      <c r="F241" s="6"/>
      <c r="G241" s="6"/>
      <c r="H241" s="6"/>
      <c r="I241" s="6"/>
      <c r="J241" s="6"/>
      <c r="K241" s="6"/>
      <c r="L241" s="6"/>
      <c r="M241" s="6"/>
    </row>
  </sheetData>
  <sheetProtection selectLockedCells="1" selectUnlockedCells="1"/>
  <mergeCells count="23">
    <mergeCell ref="B19:E19"/>
    <mergeCell ref="B96:E96"/>
    <mergeCell ref="B98:E98"/>
    <mergeCell ref="B108:E108"/>
    <mergeCell ref="B158:B159"/>
    <mergeCell ref="C158:C159"/>
    <mergeCell ref="D158:D159"/>
    <mergeCell ref="E158:E159"/>
    <mergeCell ref="B6:E6"/>
    <mergeCell ref="B8:E8"/>
    <mergeCell ref="B9:E9"/>
    <mergeCell ref="B12:E12"/>
    <mergeCell ref="B13:E13"/>
    <mergeCell ref="B15:E15"/>
    <mergeCell ref="A1:M1"/>
    <mergeCell ref="A2:M2"/>
    <mergeCell ref="A3:M3"/>
    <mergeCell ref="A4:A5"/>
    <mergeCell ref="B4:E4"/>
    <mergeCell ref="F4:F5"/>
    <mergeCell ref="G4:G5"/>
    <mergeCell ref="H4:J4"/>
    <mergeCell ref="K4:M4"/>
  </mergeCells>
  <pageMargins left="0.19685039370078741" right="0.19685039370078741" top="0" bottom="0" header="0.51181102362204722" footer="0.31496062992125984"/>
  <pageSetup paperSize="9" scale="70" firstPageNumber="0" fitToHeight="200" orientation="landscape" verticalDpi="300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14"/>
  <sheetViews>
    <sheetView workbookViewId="0">
      <selection sqref="A1:N6"/>
    </sheetView>
  </sheetViews>
  <sheetFormatPr defaultRowHeight="12.75"/>
  <cols>
    <col min="1" max="1" width="10.5703125" customWidth="1"/>
    <col min="5" max="5" width="10" bestFit="1" customWidth="1"/>
    <col min="8" max="8" width="10" bestFit="1" customWidth="1"/>
  </cols>
  <sheetData>
    <row r="1" spans="1:10">
      <c r="A1" s="220"/>
      <c r="B1" s="220"/>
      <c r="C1" s="220"/>
      <c r="D1" s="220"/>
      <c r="E1" s="220"/>
      <c r="F1" s="220"/>
      <c r="G1" s="220"/>
      <c r="H1" s="220"/>
      <c r="I1" s="220"/>
      <c r="J1" s="220"/>
    </row>
    <row r="2" spans="1:10" ht="15">
      <c r="A2" s="272" t="s">
        <v>173</v>
      </c>
      <c r="B2" s="272"/>
      <c r="C2" s="272"/>
      <c r="D2" s="272"/>
      <c r="E2" s="272"/>
      <c r="F2" s="272"/>
      <c r="G2" s="272"/>
      <c r="H2" s="272"/>
      <c r="I2" s="272"/>
      <c r="J2" s="219"/>
    </row>
    <row r="3" spans="1:10" ht="15">
      <c r="A3" s="219"/>
      <c r="B3" s="219"/>
      <c r="C3" s="219"/>
      <c r="D3" s="219"/>
      <c r="E3" s="219"/>
      <c r="F3" s="219"/>
      <c r="G3" s="219"/>
      <c r="H3" s="219"/>
      <c r="I3" s="219"/>
      <c r="J3" s="219"/>
    </row>
    <row r="4" spans="1:10" ht="15">
      <c r="A4" s="219"/>
      <c r="B4" s="219"/>
      <c r="C4" s="219"/>
      <c r="D4" s="219"/>
      <c r="E4" s="219"/>
      <c r="F4" s="219"/>
      <c r="G4" s="219"/>
      <c r="H4" s="219"/>
      <c r="I4" s="219"/>
      <c r="J4" s="219"/>
    </row>
    <row r="5" spans="1:10" ht="75">
      <c r="A5" s="221"/>
      <c r="B5" s="222" t="s">
        <v>230</v>
      </c>
      <c r="C5" s="222" t="s">
        <v>165</v>
      </c>
      <c r="D5" s="222" t="s">
        <v>206</v>
      </c>
      <c r="E5" s="222" t="s">
        <v>207</v>
      </c>
      <c r="F5" s="222" t="s">
        <v>209</v>
      </c>
      <c r="G5" s="222" t="s">
        <v>206</v>
      </c>
      <c r="H5" s="222" t="s">
        <v>207</v>
      </c>
      <c r="I5" s="222" t="s">
        <v>166</v>
      </c>
      <c r="J5" s="223" t="s">
        <v>174</v>
      </c>
    </row>
    <row r="6" spans="1:10" ht="15">
      <c r="A6" s="273" t="s">
        <v>262</v>
      </c>
      <c r="B6" s="274"/>
      <c r="C6" s="274"/>
      <c r="D6" s="274"/>
      <c r="E6" s="274"/>
      <c r="F6" s="274"/>
      <c r="G6" s="274"/>
      <c r="H6" s="274"/>
      <c r="I6" s="275"/>
      <c r="J6" s="224"/>
    </row>
    <row r="7" spans="1:10" ht="15">
      <c r="A7" s="276" t="s">
        <v>210</v>
      </c>
      <c r="B7" s="276"/>
      <c r="C7" s="276"/>
      <c r="D7" s="276"/>
      <c r="E7" s="276"/>
      <c r="F7" s="276"/>
      <c r="G7" s="276"/>
      <c r="H7" s="276"/>
      <c r="I7" s="276"/>
      <c r="J7" s="224"/>
    </row>
    <row r="8" spans="1:10" ht="45">
      <c r="A8" s="225" t="s">
        <v>172</v>
      </c>
      <c r="B8" s="226">
        <v>11876</v>
      </c>
      <c r="C8" s="227">
        <v>39</v>
      </c>
      <c r="D8" s="227">
        <v>9</v>
      </c>
      <c r="E8" s="227">
        <f>B8*C8/12*D8</f>
        <v>347373</v>
      </c>
      <c r="F8" s="228">
        <v>1</v>
      </c>
      <c r="G8" s="227">
        <v>3</v>
      </c>
      <c r="H8" s="227">
        <f>B8*F8*C8/12*G8</f>
        <v>115791</v>
      </c>
      <c r="I8" s="227">
        <f>E8+H8</f>
        <v>463164</v>
      </c>
      <c r="J8" s="229">
        <f>I8*30.2%</f>
        <v>139875.52799999999</v>
      </c>
    </row>
    <row r="9" spans="1:10" ht="15">
      <c r="A9" s="276" t="s">
        <v>171</v>
      </c>
      <c r="B9" s="276"/>
      <c r="C9" s="276"/>
      <c r="D9" s="276"/>
      <c r="E9" s="276"/>
      <c r="F9" s="276"/>
      <c r="G9" s="276"/>
      <c r="H9" s="276"/>
      <c r="I9" s="276"/>
      <c r="J9" s="224"/>
    </row>
    <row r="10" spans="1:10" ht="45">
      <c r="A10" s="224" t="s">
        <v>167</v>
      </c>
      <c r="B10" s="227">
        <v>8908</v>
      </c>
      <c r="C10" s="227">
        <v>39</v>
      </c>
      <c r="D10" s="227">
        <v>9</v>
      </c>
      <c r="E10" s="227">
        <f>B10*C10/12*D10</f>
        <v>260559</v>
      </c>
      <c r="F10" s="228">
        <v>1</v>
      </c>
      <c r="G10" s="227">
        <v>3</v>
      </c>
      <c r="H10" s="227">
        <f>B10*F10*C10/12*G10</f>
        <v>86853</v>
      </c>
      <c r="I10" s="227">
        <f>E10+H10</f>
        <v>347412</v>
      </c>
      <c r="J10" s="229">
        <f t="shared" ref="J10:J14" si="0">I10*30.2%</f>
        <v>104918.424</v>
      </c>
    </row>
    <row r="11" spans="1:10" ht="15">
      <c r="A11" s="221" t="s">
        <v>208</v>
      </c>
      <c r="B11" s="227"/>
      <c r="C11" s="227">
        <v>0</v>
      </c>
      <c r="D11" s="227">
        <v>9</v>
      </c>
      <c r="E11" s="227">
        <f t="shared" ref="E11:E12" si="1">B11*C11/12*D11</f>
        <v>0</v>
      </c>
      <c r="F11" s="228">
        <v>1</v>
      </c>
      <c r="G11" s="227">
        <v>3</v>
      </c>
      <c r="H11" s="227">
        <f t="shared" ref="H11:H12" si="2">B11*F11*C11/12*G11</f>
        <v>0</v>
      </c>
      <c r="I11" s="227">
        <f t="shared" ref="I11:I12" si="3">E11+H11</f>
        <v>0</v>
      </c>
      <c r="J11" s="229">
        <f t="shared" si="0"/>
        <v>0</v>
      </c>
    </row>
    <row r="12" spans="1:10" ht="15">
      <c r="A12" s="221" t="s">
        <v>168</v>
      </c>
      <c r="B12" s="227">
        <v>2841</v>
      </c>
      <c r="C12" s="230">
        <v>37</v>
      </c>
      <c r="D12" s="227">
        <v>9</v>
      </c>
      <c r="E12" s="227">
        <f t="shared" si="1"/>
        <v>78837.75</v>
      </c>
      <c r="F12" s="228">
        <v>1</v>
      </c>
      <c r="G12" s="227">
        <v>3</v>
      </c>
      <c r="H12" s="227">
        <f t="shared" si="2"/>
        <v>26279.25</v>
      </c>
      <c r="I12" s="227">
        <f t="shared" si="3"/>
        <v>105117</v>
      </c>
      <c r="J12" s="229">
        <f t="shared" si="0"/>
        <v>31745.333999999999</v>
      </c>
    </row>
    <row r="13" spans="1:10" ht="15">
      <c r="A13" s="269" t="s">
        <v>169</v>
      </c>
      <c r="B13" s="270"/>
      <c r="C13" s="270"/>
      <c r="D13" s="270"/>
      <c r="E13" s="270"/>
      <c r="F13" s="270"/>
      <c r="G13" s="270"/>
      <c r="H13" s="271"/>
      <c r="I13" s="231">
        <f>SUM(I10:I12)</f>
        <v>452529</v>
      </c>
      <c r="J13" s="232">
        <f t="shared" si="0"/>
        <v>136663.758</v>
      </c>
    </row>
    <row r="14" spans="1:10" ht="15">
      <c r="A14" s="269" t="s">
        <v>170</v>
      </c>
      <c r="B14" s="270"/>
      <c r="C14" s="270"/>
      <c r="D14" s="270"/>
      <c r="E14" s="270"/>
      <c r="F14" s="270"/>
      <c r="G14" s="270"/>
      <c r="H14" s="271"/>
      <c r="I14" s="231">
        <f>I8+I13</f>
        <v>915693</v>
      </c>
      <c r="J14" s="232">
        <f t="shared" si="0"/>
        <v>276539.28599999996</v>
      </c>
    </row>
  </sheetData>
  <mergeCells count="6">
    <mergeCell ref="A14:H14"/>
    <mergeCell ref="A2:I2"/>
    <mergeCell ref="A6:I6"/>
    <mergeCell ref="A7:I7"/>
    <mergeCell ref="A9:I9"/>
    <mergeCell ref="A13:H13"/>
  </mergeCells>
  <pageMargins left="0.51181102362204722" right="0.11811023622047245" top="0.19685039370078741" bottom="0.15748031496062992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первоначальный</vt:lpstr>
      <vt:lpstr>уточненный </vt:lpstr>
      <vt:lpstr>расчет зарплаты</vt:lpstr>
      <vt:lpstr>первоначальный!Заголовки_для_печати</vt:lpstr>
      <vt:lpstr>'уточненный '!Заголовки_для_печати</vt:lpstr>
      <vt:lpstr>первоначальный!Область_печати</vt:lpstr>
      <vt:lpstr>'уточненный '!Область_печати</vt:lpstr>
    </vt:vector>
  </TitlesOfParts>
  <Company>Министерство финансовК.О.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Windows</cp:lastModifiedBy>
  <cp:lastPrinted>2023-11-07T11:09:14Z</cp:lastPrinted>
  <dcterms:created xsi:type="dcterms:W3CDTF">2015-11-17T09:03:11Z</dcterms:created>
  <dcterms:modified xsi:type="dcterms:W3CDTF">2023-11-16T07:30:01Z</dcterms:modified>
</cp:coreProperties>
</file>